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14355" windowHeight="12495" activeTab="1"/>
  </bookViews>
  <sheets>
    <sheet name="begin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uitkomst" sheetId="12" r:id="rId12"/>
    <sheet name=" " sheetId="13" r:id="rId13"/>
  </sheets>
  <externalReferences>
    <externalReference r:id="rId16"/>
    <externalReference r:id="rId17"/>
    <externalReference r:id="rId18"/>
  </externalReferences>
  <definedNames>
    <definedName name="dag">' '!$N$9</definedName>
    <definedName name="ijs">'1'!$AB$8</definedName>
    <definedName name="kost">'1'!#REF!</definedName>
    <definedName name="leeg">' '!$AB$15</definedName>
    <definedName name="maand">' '!$L$9</definedName>
    <definedName name="man">' '!$T$9</definedName>
    <definedName name="min">'1'!$U$17</definedName>
    <definedName name="minmax">' '!$W$9</definedName>
    <definedName name="plus">' '!$B$16</definedName>
    <definedName name="plus_">' '!$Y$12</definedName>
    <definedName name="prijs">'1'!$AB$9</definedName>
    <definedName name="reclameborden">'10'!$G$29</definedName>
    <definedName name="ronde">'1'!$AB$6</definedName>
    <definedName name="ronde_">' '!$R$9</definedName>
    <definedName name="score">'uitkomst'!$C$3</definedName>
    <definedName name="tot">'1'!$S$19</definedName>
    <definedName name="uur">' '!$P$9</definedName>
  </definedNames>
  <calcPr fullCalcOnLoad="1"/>
</workbook>
</file>

<file path=xl/sharedStrings.xml><?xml version="1.0" encoding="utf-8"?>
<sst xmlns="http://schemas.openxmlformats.org/spreadsheetml/2006/main" count="330" uniqueCount="85">
  <si>
    <t>het weer</t>
  </si>
  <si>
    <t>waarschuwing</t>
  </si>
  <si>
    <t>ijsprijs</t>
  </si>
  <si>
    <t>25 euro opslag</t>
  </si>
  <si>
    <t xml:space="preserve"> </t>
  </si>
  <si>
    <t>inkoop prijs</t>
  </si>
  <si>
    <t>ronde nummer</t>
  </si>
  <si>
    <t xml:space="preserve">in gebied </t>
  </si>
  <si>
    <t>aantal ijsjes</t>
  </si>
  <si>
    <t>prijs per ijsje</t>
  </si>
  <si>
    <t>euro</t>
  </si>
  <si>
    <t>reclameborden</t>
  </si>
  <si>
    <t>je heb 20 dagen om zoveel mogelijk geld te verdienen</t>
  </si>
  <si>
    <t>tip</t>
  </si>
  <si>
    <t>let op het weer</t>
  </si>
  <si>
    <t>let op de</t>
  </si>
  <si>
    <t>en op de</t>
  </si>
  <si>
    <t>waarschuwingen</t>
  </si>
  <si>
    <t>windkracht</t>
  </si>
  <si>
    <t>prijs verkoop ijs</t>
  </si>
  <si>
    <t>max ijs ,verkochte ijsjes</t>
  </si>
  <si>
    <t>max prijs ijsje</t>
  </si>
  <si>
    <t>tot.</t>
  </si>
  <si>
    <t>U begon met €25.- en u bent helaas failliet gegaan</t>
  </si>
  <si>
    <t>U begon met €25.- nu (tien dagen later) heeft u maarliefst €</t>
  </si>
  <si>
    <t>in gebied</t>
  </si>
  <si>
    <t xml:space="preserve">,-  opgehaald klik op score invoeren als je je score wilt invullen </t>
  </si>
  <si>
    <t>weer</t>
  </si>
  <si>
    <t>bewolkt</t>
  </si>
  <si>
    <t>zonnig</t>
  </si>
  <si>
    <t>weer is</t>
  </si>
  <si>
    <t>windkracht is</t>
  </si>
  <si>
    <t>reclameborden is</t>
  </si>
  <si>
    <t>% bij reclame borden</t>
  </si>
  <si>
    <t>rekenen word</t>
  </si>
  <si>
    <t>reclame borden plus ..%</t>
  </si>
  <si>
    <t>weer plus ..%</t>
  </si>
  <si>
    <t>weer en reclame plus ..%</t>
  </si>
  <si>
    <t>wind</t>
  </si>
  <si>
    <t>zacht</t>
  </si>
  <si>
    <t>niet</t>
  </si>
  <si>
    <t>hard</t>
  </si>
  <si>
    <t>wind plus ..%</t>
  </si>
  <si>
    <t>score</t>
  </si>
  <si>
    <t>maand</t>
  </si>
  <si>
    <t>dag</t>
  </si>
  <si>
    <t>uur</t>
  </si>
  <si>
    <t>ronde</t>
  </si>
  <si>
    <t>man</t>
  </si>
  <si>
    <t>min/max</t>
  </si>
  <si>
    <t>weer soorten</t>
  </si>
  <si>
    <t>miljoen</t>
  </si>
  <si>
    <t>water</t>
  </si>
  <si>
    <t>oorkaan</t>
  </si>
  <si>
    <t>schaade</t>
  </si>
  <si>
    <t>komt</t>
  </si>
  <si>
    <t>plus</t>
  </si>
  <si>
    <t>vandaag / nu</t>
  </si>
  <si>
    <t>leeg</t>
  </si>
  <si>
    <t>uitkomst</t>
  </si>
  <si>
    <t>min/plus</t>
  </si>
  <si>
    <t>reclame</t>
  </si>
  <si>
    <t>min</t>
  </si>
  <si>
    <t>inkoop</t>
  </si>
  <si>
    <t>huur</t>
  </si>
  <si>
    <t>tot (min)</t>
  </si>
  <si>
    <t>vandaag is</t>
  </si>
  <si>
    <t>er is</t>
  </si>
  <si>
    <t>de ijsprijs is</t>
  </si>
  <si>
    <t>het tamelijk</t>
  </si>
  <si>
    <t xml:space="preserve"> morgen een</t>
  </si>
  <si>
    <t>vandaag</t>
  </si>
  <si>
    <t>orkaan op</t>
  </si>
  <si>
    <t>met windkracht</t>
  </si>
  <si>
    <t xml:space="preserve">komst dus </t>
  </si>
  <si>
    <t>namelijk</t>
  </si>
  <si>
    <t>blijf bij het</t>
  </si>
  <si>
    <t>water weg</t>
  </si>
  <si>
    <t>per stuk</t>
  </si>
  <si>
    <t>er is geen</t>
  </si>
  <si>
    <t>voor vandaag</t>
  </si>
  <si>
    <t>of morgen</t>
  </si>
  <si>
    <t>bekend</t>
  </si>
  <si>
    <t>regen achtig</t>
  </si>
  <si>
    <t>nu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</si>
</sst>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0_-"/>
    <numFmt numFmtId="165" formatCode="&quot;€&quot;\ #,##0.00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9.4"/>
      <color indexed="8"/>
      <name val="Arial Black"/>
      <family val="0"/>
    </font>
    <font>
      <b/>
      <sz val="11"/>
      <color indexed="10"/>
      <name val="Calibri"/>
      <family val="0"/>
    </font>
    <font>
      <sz val="40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40">
    <xf numFmtId="0" fontId="0" fillId="0" borderId="0" xfId="0" applyFont="1" applyAlignment="1">
      <alignment/>
    </xf>
    <xf numFmtId="0" fontId="2" fillId="33" borderId="10" xfId="54" applyFill="1" applyBorder="1" applyProtection="1">
      <alignment/>
      <protection/>
    </xf>
    <xf numFmtId="0" fontId="2" fillId="33" borderId="11" xfId="54" applyFill="1" applyBorder="1" applyProtection="1">
      <alignment/>
      <protection/>
    </xf>
    <xf numFmtId="0" fontId="2" fillId="33" borderId="12" xfId="54" applyFill="1" applyBorder="1" applyProtection="1">
      <alignment/>
      <protection/>
    </xf>
    <xf numFmtId="0" fontId="2" fillId="33" borderId="0" xfId="54" applyFill="1" applyBorder="1" applyProtection="1">
      <alignment/>
      <protection/>
    </xf>
    <xf numFmtId="0" fontId="2" fillId="33" borderId="13" xfId="54" applyFill="1" applyBorder="1" applyProtection="1">
      <alignment/>
      <protection/>
    </xf>
    <xf numFmtId="0" fontId="2" fillId="33" borderId="14" xfId="54" applyFill="1" applyBorder="1" applyAlignment="1" applyProtection="1">
      <alignment horizontal="center"/>
      <protection/>
    </xf>
    <xf numFmtId="0" fontId="2" fillId="33" borderId="15" xfId="54" applyFill="1" applyBorder="1" applyProtection="1">
      <alignment/>
      <protection/>
    </xf>
    <xf numFmtId="0" fontId="2" fillId="33" borderId="0" xfId="54" applyFill="1" applyBorder="1" applyAlignment="1" applyProtection="1">
      <alignment horizontal="center"/>
      <protection/>
    </xf>
    <xf numFmtId="0" fontId="2" fillId="33" borderId="0" xfId="54" applyFill="1">
      <alignment/>
      <protection/>
    </xf>
    <xf numFmtId="0" fontId="2" fillId="33" borderId="15" xfId="54" applyFill="1" applyBorder="1" applyAlignment="1" applyProtection="1">
      <alignment horizontal="center"/>
      <protection/>
    </xf>
    <xf numFmtId="0" fontId="2" fillId="33" borderId="0" xfId="54" applyFill="1" applyBorder="1" applyAlignment="1" applyProtection="1">
      <alignment/>
      <protection/>
    </xf>
    <xf numFmtId="2" fontId="2" fillId="33" borderId="0" xfId="54" applyNumberFormat="1" applyFill="1" applyBorder="1" applyAlignment="1" applyProtection="1">
      <alignment horizontal="center"/>
      <protection/>
    </xf>
    <xf numFmtId="0" fontId="2" fillId="33" borderId="0" xfId="54" applyFill="1" applyProtection="1">
      <alignment/>
      <protection/>
    </xf>
    <xf numFmtId="0" fontId="2" fillId="33" borderId="16" xfId="54" applyFill="1" applyBorder="1" applyProtection="1">
      <alignment/>
      <protection/>
    </xf>
    <xf numFmtId="0" fontId="2" fillId="33" borderId="14" xfId="54" applyFill="1" applyBorder="1" applyProtection="1">
      <alignment/>
      <protection/>
    </xf>
    <xf numFmtId="0" fontId="2" fillId="33" borderId="17" xfId="54" applyFill="1" applyBorder="1" applyProtection="1">
      <alignment/>
      <protection/>
    </xf>
    <xf numFmtId="0" fontId="2" fillId="33" borderId="0" xfId="54" applyFill="1" applyAlignment="1">
      <alignment horizontal="center"/>
      <protection/>
    </xf>
    <xf numFmtId="2" fontId="2" fillId="33" borderId="0" xfId="54" applyNumberFormat="1" applyFill="1">
      <alignment/>
      <protection/>
    </xf>
    <xf numFmtId="0" fontId="2" fillId="34" borderId="0" xfId="54" applyFill="1" applyBorder="1" applyAlignment="1" applyProtection="1">
      <alignment horizontal="center"/>
      <protection/>
    </xf>
    <xf numFmtId="0" fontId="2" fillId="34" borderId="0" xfId="54" applyNumberFormat="1" applyFill="1" applyBorder="1" applyAlignment="1" applyProtection="1">
      <alignment horizontal="center" vertical="top"/>
      <protection/>
    </xf>
    <xf numFmtId="0" fontId="2" fillId="34" borderId="0" xfId="54" applyNumberFormat="1" applyFill="1" applyBorder="1" applyAlignment="1" applyProtection="1">
      <alignment horizontal="left" vertical="top"/>
      <protection/>
    </xf>
    <xf numFmtId="1" fontId="2" fillId="33" borderId="0" xfId="54" applyNumberFormat="1" applyFill="1">
      <alignment/>
      <protection/>
    </xf>
    <xf numFmtId="3" fontId="2" fillId="33" borderId="0" xfId="54" applyNumberFormat="1" applyFill="1">
      <alignment/>
      <protection/>
    </xf>
    <xf numFmtId="164" fontId="2" fillId="33" borderId="0" xfId="54" applyNumberFormat="1" applyFill="1">
      <alignment/>
      <protection/>
    </xf>
    <xf numFmtId="0" fontId="2" fillId="34" borderId="0" xfId="54" applyFill="1">
      <alignment/>
      <protection/>
    </xf>
    <xf numFmtId="0" fontId="0" fillId="34" borderId="0" xfId="0" applyFill="1" applyAlignment="1">
      <alignment/>
    </xf>
    <xf numFmtId="0" fontId="2" fillId="34" borderId="0" xfId="54" applyFill="1" applyBorder="1">
      <alignment/>
      <protection/>
    </xf>
    <xf numFmtId="0" fontId="2" fillId="34" borderId="0" xfId="54" applyFill="1" applyBorder="1" applyProtection="1">
      <alignment/>
      <protection/>
    </xf>
    <xf numFmtId="0" fontId="2" fillId="34" borderId="0" xfId="54" applyFill="1" applyBorder="1" applyAlignment="1" applyProtection="1">
      <alignment horizontal="center"/>
      <protection/>
    </xf>
    <xf numFmtId="49" fontId="2" fillId="34" borderId="0" xfId="54" applyNumberFormat="1" applyFill="1" applyBorder="1" applyAlignment="1" applyProtection="1">
      <alignment horizontal="center" vertical="top"/>
      <protection/>
    </xf>
    <xf numFmtId="0" fontId="2" fillId="34" borderId="0" xfId="54" applyNumberFormat="1" applyFill="1" applyBorder="1" applyAlignment="1" applyProtection="1">
      <alignment horizontal="center" vertical="top"/>
      <protection/>
    </xf>
    <xf numFmtId="1" fontId="2" fillId="34" borderId="0" xfId="54" applyNumberFormat="1" applyFill="1" applyBorder="1" applyAlignment="1" applyProtection="1">
      <alignment horizontal="center"/>
      <protection locked="0"/>
    </xf>
    <xf numFmtId="0" fontId="2" fillId="34" borderId="0" xfId="54" applyFill="1" applyBorder="1" applyAlignment="1" applyProtection="1">
      <alignment/>
      <protection/>
    </xf>
    <xf numFmtId="164" fontId="2" fillId="34" borderId="0" xfId="54" applyNumberFormat="1" applyFill="1" applyBorder="1" applyAlignment="1" applyProtection="1">
      <alignment horizontal="center"/>
      <protection locked="0"/>
    </xf>
    <xf numFmtId="2" fontId="2" fillId="34" borderId="0" xfId="54" applyNumberFormat="1" applyFill="1" applyBorder="1" applyAlignment="1" applyProtection="1">
      <alignment horizontal="center"/>
      <protection/>
    </xf>
    <xf numFmtId="2" fontId="2" fillId="34" borderId="0" xfId="54" applyNumberFormat="1" applyFill="1" applyBorder="1" applyAlignment="1" applyProtection="1">
      <alignment horizontal="right" vertical="top"/>
      <protection/>
    </xf>
    <xf numFmtId="0" fontId="2" fillId="34" borderId="0" xfId="54" applyNumberFormat="1" applyFill="1" applyBorder="1" applyAlignment="1" applyProtection="1">
      <alignment horizontal="left" vertical="top"/>
      <protection/>
    </xf>
    <xf numFmtId="0" fontId="2" fillId="34" borderId="0" xfId="54" applyFill="1" applyBorder="1" applyAlignment="1">
      <alignment horizontal="center"/>
      <protection/>
    </xf>
    <xf numFmtId="1" fontId="2" fillId="34" borderId="0" xfId="54" applyNumberFormat="1" applyFill="1" applyBorder="1">
      <alignment/>
      <protection/>
    </xf>
    <xf numFmtId="0" fontId="0" fillId="34" borderId="0" xfId="0" applyFill="1" applyBorder="1" applyAlignment="1">
      <alignment/>
    </xf>
    <xf numFmtId="0" fontId="2" fillId="33" borderId="0" xfId="54" applyFill="1" applyAlignment="1">
      <alignment horizontal="right"/>
      <protection/>
    </xf>
    <xf numFmtId="0" fontId="2" fillId="33" borderId="0" xfId="54" applyNumberFormat="1" applyFill="1">
      <alignment/>
      <protection/>
    </xf>
    <xf numFmtId="0" fontId="2" fillId="33" borderId="0" xfId="54" applyFont="1" applyFill="1">
      <alignment/>
      <protection/>
    </xf>
    <xf numFmtId="0" fontId="0" fillId="34" borderId="0" xfId="0" applyFill="1" applyAlignment="1">
      <alignment horizontal="left"/>
    </xf>
    <xf numFmtId="165" fontId="2" fillId="34" borderId="0" xfId="54" applyNumberFormat="1" applyFill="1" applyBorder="1" applyAlignment="1" applyProtection="1">
      <alignment/>
      <protection/>
    </xf>
    <xf numFmtId="1" fontId="0" fillId="34" borderId="0" xfId="0" applyNumberFormat="1" applyFill="1" applyAlignment="1">
      <alignment/>
    </xf>
    <xf numFmtId="0" fontId="39" fillId="34" borderId="0" xfId="54" applyFont="1" applyFill="1" applyBorder="1" applyAlignment="1" applyProtection="1">
      <alignment/>
      <protection/>
    </xf>
    <xf numFmtId="165" fontId="39" fillId="34" borderId="0" xfId="54" applyNumberFormat="1" applyFont="1" applyFill="1" applyBorder="1" applyAlignment="1" applyProtection="1">
      <alignment horizontal="left"/>
      <protection/>
    </xf>
    <xf numFmtId="3" fontId="39" fillId="34" borderId="0" xfId="54" applyNumberFormat="1" applyFont="1" applyFill="1" applyBorder="1" applyAlignment="1" applyProtection="1">
      <alignment horizontal="left" vertical="center"/>
      <protection locked="0"/>
    </xf>
    <xf numFmtId="0" fontId="39" fillId="34" borderId="0" xfId="54" applyFont="1" applyFill="1" applyBorder="1">
      <alignment/>
      <protection/>
    </xf>
    <xf numFmtId="1" fontId="39" fillId="34" borderId="0" xfId="54" applyNumberFormat="1" applyFont="1" applyFill="1" applyBorder="1" applyAlignment="1" applyProtection="1">
      <alignment horizontal="center"/>
      <protection locked="0"/>
    </xf>
    <xf numFmtId="0" fontId="23" fillId="34" borderId="0" xfId="0" applyFont="1" applyFill="1" applyAlignment="1">
      <alignment/>
    </xf>
    <xf numFmtId="166" fontId="2" fillId="33" borderId="0" xfId="54" applyNumberFormat="1" applyFill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Fill="1" applyBorder="1" applyAlignment="1">
      <alignment/>
    </xf>
    <xf numFmtId="41" fontId="0" fillId="35" borderId="1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1" fontId="0" fillId="0" borderId="0" xfId="0" applyNumberFormat="1" applyFill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1" fontId="0" fillId="0" borderId="0" xfId="0" applyNumberFormat="1" applyFill="1" applyBorder="1" applyAlignment="1">
      <alignment/>
    </xf>
    <xf numFmtId="10" fontId="0" fillId="0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36" borderId="16" xfId="54" applyFill="1" applyBorder="1" applyAlignment="1">
      <alignment horizontal="center"/>
      <protection/>
    </xf>
    <xf numFmtId="0" fontId="2" fillId="36" borderId="14" xfId="54" applyFill="1" applyBorder="1" applyAlignment="1">
      <alignment horizontal="center"/>
      <protection/>
    </xf>
    <xf numFmtId="0" fontId="2" fillId="36" borderId="17" xfId="54" applyFill="1" applyBorder="1" applyAlignment="1">
      <alignment horizontal="center"/>
      <protection/>
    </xf>
    <xf numFmtId="0" fontId="2" fillId="37" borderId="38" xfId="54" applyFill="1" applyBorder="1" applyAlignment="1">
      <alignment horizontal="center"/>
      <protection/>
    </xf>
    <xf numFmtId="0" fontId="2" fillId="37" borderId="39" xfId="54" applyFill="1" applyBorder="1" applyAlignment="1">
      <alignment horizontal="center"/>
      <protection/>
    </xf>
    <xf numFmtId="0" fontId="2" fillId="37" borderId="40" xfId="54" applyFill="1" applyBorder="1" applyAlignment="1">
      <alignment horizontal="center"/>
      <protection/>
    </xf>
    <xf numFmtId="0" fontId="2" fillId="36" borderId="10" xfId="54" applyFill="1" applyBorder="1" applyAlignment="1">
      <alignment horizontal="center"/>
      <protection/>
    </xf>
    <xf numFmtId="0" fontId="2" fillId="36" borderId="11" xfId="54" applyFill="1" applyBorder="1" applyAlignment="1">
      <alignment horizontal="center"/>
      <protection/>
    </xf>
    <xf numFmtId="0" fontId="2" fillId="36" borderId="12" xfId="54" applyFill="1" applyBorder="1" applyAlignment="1">
      <alignment horizontal="center"/>
      <protection/>
    </xf>
    <xf numFmtId="0" fontId="2" fillId="33" borderId="0" xfId="54" applyFill="1" applyAlignment="1">
      <alignment horizontal="center"/>
      <protection/>
    </xf>
    <xf numFmtId="49" fontId="2" fillId="36" borderId="0" xfId="54" applyNumberFormat="1" applyFill="1" applyBorder="1" applyAlignment="1" applyProtection="1">
      <alignment horizontal="center" vertical="top"/>
      <protection/>
    </xf>
    <xf numFmtId="0" fontId="2" fillId="36" borderId="0" xfId="54" applyNumberFormat="1" applyFill="1" applyBorder="1" applyAlignment="1" applyProtection="1">
      <alignment horizontal="center" vertical="top"/>
      <protection/>
    </xf>
    <xf numFmtId="0" fontId="2" fillId="36" borderId="15" xfId="54" applyNumberFormat="1" applyFill="1" applyBorder="1" applyAlignment="1" applyProtection="1">
      <alignment horizontal="center" vertical="top"/>
      <protection/>
    </xf>
    <xf numFmtId="49" fontId="2" fillId="36" borderId="13" xfId="54" applyNumberFormat="1" applyFill="1" applyBorder="1" applyAlignment="1" applyProtection="1">
      <alignment horizontal="center" vertical="top"/>
      <protection/>
    </xf>
    <xf numFmtId="0" fontId="2" fillId="36" borderId="13" xfId="54" applyFill="1" applyBorder="1" applyAlignment="1">
      <alignment horizontal="center"/>
      <protection/>
    </xf>
    <xf numFmtId="0" fontId="2" fillId="36" borderId="0" xfId="54" applyFill="1" applyBorder="1" applyAlignment="1">
      <alignment horizontal="center"/>
      <protection/>
    </xf>
    <xf numFmtId="49" fontId="2" fillId="36" borderId="16" xfId="54" applyNumberFormat="1" applyFill="1" applyBorder="1" applyAlignment="1" applyProtection="1">
      <alignment horizontal="center" vertical="top"/>
      <protection/>
    </xf>
    <xf numFmtId="0" fontId="2" fillId="36" borderId="14" xfId="54" applyNumberFormat="1" applyFill="1" applyBorder="1" applyAlignment="1" applyProtection="1">
      <alignment horizontal="center" vertical="top"/>
      <protection/>
    </xf>
    <xf numFmtId="0" fontId="2" fillId="36" borderId="17" xfId="54" applyNumberFormat="1" applyFill="1" applyBorder="1" applyAlignment="1" applyProtection="1">
      <alignment horizontal="center" vertical="top"/>
      <protection/>
    </xf>
    <xf numFmtId="49" fontId="2" fillId="36" borderId="14" xfId="54" applyNumberFormat="1" applyFill="1" applyBorder="1" applyAlignment="1" applyProtection="1">
      <alignment horizontal="center" vertical="top"/>
      <protection/>
    </xf>
    <xf numFmtId="0" fontId="2" fillId="37" borderId="41" xfId="54" applyFill="1" applyBorder="1" applyAlignment="1" applyProtection="1">
      <alignment horizontal="center"/>
      <protection/>
    </xf>
    <xf numFmtId="0" fontId="2" fillId="37" borderId="42" xfId="54" applyFill="1" applyBorder="1">
      <alignment/>
      <protection/>
    </xf>
    <xf numFmtId="0" fontId="2" fillId="37" borderId="14" xfId="54" applyFill="1" applyBorder="1">
      <alignment/>
      <protection/>
    </xf>
    <xf numFmtId="0" fontId="2" fillId="37" borderId="42" xfId="54" applyFill="1" applyBorder="1" applyAlignment="1" applyProtection="1">
      <alignment horizontal="center"/>
      <protection/>
    </xf>
    <xf numFmtId="0" fontId="2" fillId="37" borderId="43" xfId="54" applyFill="1" applyBorder="1" applyAlignment="1" applyProtection="1">
      <alignment horizontal="center"/>
      <protection/>
    </xf>
    <xf numFmtId="0" fontId="2" fillId="36" borderId="0" xfId="54" applyNumberFormat="1" applyFill="1" applyBorder="1" applyAlignment="1" applyProtection="1">
      <alignment horizontal="left" vertical="top"/>
      <protection/>
    </xf>
    <xf numFmtId="0" fontId="2" fillId="36" borderId="15" xfId="54" applyNumberFormat="1" applyFill="1" applyBorder="1" applyAlignment="1" applyProtection="1">
      <alignment horizontal="left" vertical="top"/>
      <protection/>
    </xf>
    <xf numFmtId="0" fontId="2" fillId="37" borderId="41" xfId="54" applyFill="1" applyBorder="1" applyAlignment="1" applyProtection="1">
      <alignment horizontal="center" vertical="center"/>
      <protection/>
    </xf>
    <xf numFmtId="0" fontId="2" fillId="37" borderId="42" xfId="54" applyFill="1" applyBorder="1" applyAlignment="1" applyProtection="1">
      <alignment horizontal="center" vertical="center"/>
      <protection/>
    </xf>
    <xf numFmtId="1" fontId="2" fillId="36" borderId="26" xfId="54" applyNumberFormat="1" applyFill="1" applyBorder="1" applyAlignment="1" applyProtection="1">
      <alignment horizontal="center"/>
      <protection locked="0"/>
    </xf>
    <xf numFmtId="1" fontId="2" fillId="36" borderId="27" xfId="54" applyNumberFormat="1" applyFill="1" applyBorder="1" applyAlignment="1" applyProtection="1">
      <alignment horizontal="center"/>
      <protection locked="0"/>
    </xf>
    <xf numFmtId="2" fontId="2" fillId="37" borderId="42" xfId="54" applyNumberFormat="1" applyFill="1" applyBorder="1" applyAlignment="1" applyProtection="1">
      <alignment horizontal="center"/>
      <protection/>
    </xf>
    <xf numFmtId="2" fontId="2" fillId="37" borderId="43" xfId="54" applyNumberFormat="1" applyFill="1" applyBorder="1" applyAlignment="1" applyProtection="1">
      <alignment horizontal="center"/>
      <protection/>
    </xf>
    <xf numFmtId="0" fontId="2" fillId="34" borderId="0" xfId="54" applyFill="1" applyBorder="1" applyAlignment="1" applyProtection="1">
      <alignment horizontal="center"/>
      <protection/>
    </xf>
    <xf numFmtId="0" fontId="2" fillId="37" borderId="43" xfId="54" applyFill="1" applyBorder="1" applyAlignment="1" applyProtection="1">
      <alignment horizontal="center" vertical="center"/>
      <protection/>
    </xf>
    <xf numFmtId="1" fontId="2" fillId="36" borderId="28" xfId="54" applyNumberFormat="1" applyFill="1" applyBorder="1" applyAlignment="1" applyProtection="1">
      <alignment horizontal="center"/>
      <protection locked="0"/>
    </xf>
    <xf numFmtId="1" fontId="2" fillId="36" borderId="30" xfId="54" applyNumberFormat="1" applyFill="1" applyBorder="1" applyAlignment="1" applyProtection="1">
      <alignment horizontal="center"/>
      <protection locked="0"/>
    </xf>
    <xf numFmtId="2" fontId="2" fillId="37" borderId="41" xfId="54" applyNumberFormat="1" applyFill="1" applyBorder="1" applyAlignment="1" applyProtection="1">
      <alignment horizontal="center"/>
      <protection/>
    </xf>
    <xf numFmtId="0" fontId="2" fillId="37" borderId="10" xfId="54" applyFill="1" applyBorder="1" applyAlignment="1" applyProtection="1">
      <alignment horizontal="center" vertical="center"/>
      <protection/>
    </xf>
    <xf numFmtId="0" fontId="2" fillId="37" borderId="11" xfId="54" applyFill="1" applyBorder="1" applyAlignment="1" applyProtection="1">
      <alignment horizontal="center" vertical="center"/>
      <protection/>
    </xf>
    <xf numFmtId="164" fontId="2" fillId="36" borderId="26" xfId="54" applyNumberFormat="1" applyFill="1" applyBorder="1" applyAlignment="1" applyProtection="1">
      <alignment horizontal="center"/>
      <protection locked="0"/>
    </xf>
    <xf numFmtId="164" fontId="2" fillId="36" borderId="27" xfId="54" applyNumberFormat="1" applyFill="1" applyBorder="1" applyAlignment="1" applyProtection="1">
      <alignment horizontal="center"/>
      <protection locked="0"/>
    </xf>
    <xf numFmtId="0" fontId="2" fillId="33" borderId="11" xfId="54" applyFill="1" applyBorder="1" applyAlignment="1" applyProtection="1">
      <alignment horizontal="center"/>
      <protection/>
    </xf>
    <xf numFmtId="2" fontId="2" fillId="36" borderId="13" xfId="54" applyNumberFormat="1" applyFill="1" applyBorder="1" applyAlignment="1" applyProtection="1">
      <alignment horizontal="right" vertical="top"/>
      <protection/>
    </xf>
    <xf numFmtId="2" fontId="2" fillId="36" borderId="0" xfId="54" applyNumberFormat="1" applyFill="1" applyBorder="1" applyAlignment="1" applyProtection="1">
      <alignment horizontal="right" vertical="top"/>
      <protection/>
    </xf>
    <xf numFmtId="1" fontId="2" fillId="36" borderId="31" xfId="54" applyNumberFormat="1" applyFill="1" applyBorder="1" applyAlignment="1" applyProtection="1">
      <alignment horizontal="center"/>
      <protection locked="0"/>
    </xf>
    <xf numFmtId="1" fontId="2" fillId="36" borderId="44" xfId="54" applyNumberFormat="1" applyFill="1" applyBorder="1" applyAlignment="1" applyProtection="1">
      <alignment horizontal="center"/>
      <protection locked="0"/>
    </xf>
    <xf numFmtId="0" fontId="2" fillId="33" borderId="14" xfId="54" applyFill="1" applyBorder="1" applyAlignment="1" applyProtection="1">
      <alignment horizontal="center"/>
      <protection/>
    </xf>
    <xf numFmtId="0" fontId="2" fillId="37" borderId="10" xfId="54" applyFill="1" applyBorder="1" applyAlignment="1" applyProtection="1">
      <alignment horizontal="center"/>
      <protection/>
    </xf>
    <xf numFmtId="0" fontId="2" fillId="37" borderId="11" xfId="54" applyFill="1" applyBorder="1" applyAlignment="1" applyProtection="1">
      <alignment horizontal="center"/>
      <protection/>
    </xf>
    <xf numFmtId="0" fontId="2" fillId="37" borderId="12" xfId="54" applyFill="1" applyBorder="1" applyAlignment="1" applyProtection="1">
      <alignment horizontal="center"/>
      <protection/>
    </xf>
    <xf numFmtId="0" fontId="2" fillId="37" borderId="41" xfId="54" applyNumberFormat="1" applyFill="1" applyBorder="1" applyAlignment="1" applyProtection="1">
      <alignment horizontal="center"/>
      <protection/>
    </xf>
    <xf numFmtId="0" fontId="2" fillId="37" borderId="42" xfId="54" applyNumberFormat="1" applyFill="1" applyBorder="1" applyAlignment="1" applyProtection="1">
      <alignment horizontal="center"/>
      <protection/>
    </xf>
    <xf numFmtId="0" fontId="2" fillId="37" borderId="43" xfId="54" applyNumberFormat="1" applyFill="1" applyBorder="1" applyAlignment="1" applyProtection="1">
      <alignment horizontal="center"/>
      <protection/>
    </xf>
    <xf numFmtId="0" fontId="2" fillId="33" borderId="15" xfId="54" applyFill="1" applyBorder="1" applyAlignment="1" applyProtection="1">
      <alignment horizontal="center"/>
      <protection/>
    </xf>
    <xf numFmtId="2" fontId="2" fillId="36" borderId="41" xfId="54" applyNumberFormat="1" applyFill="1" applyBorder="1" applyAlignment="1" applyProtection="1">
      <alignment horizontal="center"/>
      <protection/>
    </xf>
    <xf numFmtId="2" fontId="2" fillId="36" borderId="42" xfId="54" applyNumberFormat="1" applyFill="1" applyBorder="1" applyAlignment="1" applyProtection="1">
      <alignment horizontal="center"/>
      <protection/>
    </xf>
    <xf numFmtId="2" fontId="2" fillId="36" borderId="43" xfId="54" applyNumberFormat="1" applyFill="1" applyBorder="1" applyAlignment="1" applyProtection="1">
      <alignment horizontal="center"/>
      <protection/>
    </xf>
    <xf numFmtId="49" fontId="2" fillId="36" borderId="10" xfId="54" applyNumberFormat="1" applyFill="1" applyBorder="1" applyAlignment="1" applyProtection="1">
      <alignment horizontal="center" vertical="top"/>
      <protection/>
    </xf>
    <xf numFmtId="0" fontId="2" fillId="36" borderId="11" xfId="54" applyNumberFormat="1" applyFill="1" applyBorder="1" applyAlignment="1" applyProtection="1">
      <alignment horizontal="center" vertical="top"/>
      <protection/>
    </xf>
    <xf numFmtId="0" fontId="2" fillId="36" borderId="12" xfId="54" applyNumberFormat="1" applyFill="1" applyBorder="1" applyAlignment="1" applyProtection="1">
      <alignment horizontal="center" vertical="top"/>
      <protection/>
    </xf>
    <xf numFmtId="49" fontId="2" fillId="36" borderId="11" xfId="54" applyNumberFormat="1" applyFill="1" applyBorder="1" applyAlignment="1" applyProtection="1">
      <alignment horizontal="center" vertical="top"/>
      <protection/>
    </xf>
    <xf numFmtId="3" fontId="2" fillId="38" borderId="41" xfId="54" applyNumberFormat="1" applyFill="1" applyBorder="1" applyAlignment="1" applyProtection="1">
      <alignment horizontal="center" vertical="center"/>
      <protection locked="0"/>
    </xf>
    <xf numFmtId="3" fontId="2" fillId="38" borderId="43" xfId="54" applyNumberFormat="1" applyFill="1" applyBorder="1" applyAlignment="1" applyProtection="1">
      <alignment horizontal="center" vertical="center"/>
      <protection locked="0"/>
    </xf>
    <xf numFmtId="0" fontId="2" fillId="36" borderId="10" xfId="54" applyNumberFormat="1" applyFill="1" applyBorder="1" applyAlignment="1" applyProtection="1">
      <alignment horizontal="center" vertical="top"/>
      <protection/>
    </xf>
    <xf numFmtId="3" fontId="2" fillId="38" borderId="41" xfId="54" applyNumberFormat="1" applyFill="1" applyBorder="1" applyAlignment="1" applyProtection="1">
      <alignment horizontal="center" vertical="center"/>
      <protection/>
    </xf>
    <xf numFmtId="3" fontId="2" fillId="38" borderId="43" xfId="54" applyNumberFormat="1" applyFill="1" applyBorder="1" applyAlignment="1" applyProtection="1">
      <alignment horizontal="center" vertical="center"/>
      <protection/>
    </xf>
    <xf numFmtId="0" fontId="2" fillId="36" borderId="13" xfId="54" applyNumberFormat="1" applyFill="1" applyBorder="1" applyAlignment="1" applyProtection="1">
      <alignment horizontal="center" vertical="top"/>
      <protection/>
    </xf>
    <xf numFmtId="0" fontId="2" fillId="36" borderId="0" xfId="54" applyNumberFormat="1" applyFill="1" applyBorder="1" applyAlignment="1" applyProtection="1">
      <alignment horizontal="right" vertical="top"/>
      <protection/>
    </xf>
    <xf numFmtId="0" fontId="2" fillId="36" borderId="16" xfId="54" applyNumberFormat="1" applyFill="1" applyBorder="1" applyAlignment="1" applyProtection="1">
      <alignment horizontal="center" vertical="top"/>
      <protection/>
    </xf>
    <xf numFmtId="2" fontId="2" fillId="34" borderId="0" xfId="54" applyNumberFormat="1" applyFill="1" applyBorder="1" applyAlignment="1" applyProtection="1">
      <alignment horizontal="center"/>
      <protection/>
    </xf>
    <xf numFmtId="0" fontId="0" fillId="37" borderId="41" xfId="0" applyFill="1" applyBorder="1" applyAlignment="1" applyProtection="1">
      <alignment horizontal="center"/>
      <protection/>
    </xf>
    <xf numFmtId="0" fontId="0" fillId="37" borderId="42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42" xfId="0" applyFill="1" applyBorder="1" applyAlignment="1" applyProtection="1">
      <alignment horizontal="center"/>
      <protection/>
    </xf>
    <xf numFmtId="0" fontId="0" fillId="37" borderId="43" xfId="0" applyFill="1" applyBorder="1" applyAlignment="1" applyProtection="1">
      <alignment horizontal="center"/>
      <protection/>
    </xf>
    <xf numFmtId="0" fontId="2" fillId="34" borderId="0" xfId="54" applyNumberFormat="1" applyFill="1" applyBorder="1" applyAlignment="1" applyProtection="1">
      <alignment horizontal="center"/>
      <protection/>
    </xf>
    <xf numFmtId="1" fontId="2" fillId="34" borderId="0" xfId="54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40" borderId="27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39" borderId="29" xfId="0" applyNumberFormat="1" applyFill="1" applyBorder="1" applyAlignment="1">
      <alignment horizontal="center"/>
    </xf>
    <xf numFmtId="4" fontId="0" fillId="40" borderId="29" xfId="0" applyNumberFormat="1" applyFill="1" applyBorder="1" applyAlignment="1">
      <alignment horizontal="center"/>
    </xf>
    <xf numFmtId="4" fontId="0" fillId="40" borderId="30" xfId="0" applyNumberForma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41" borderId="41" xfId="0" applyFill="1" applyBorder="1" applyAlignment="1">
      <alignment horizontal="center"/>
    </xf>
    <xf numFmtId="0" fontId="0" fillId="41" borderId="4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2" fontId="0" fillId="33" borderId="28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39" borderId="29" xfId="0" applyNumberFormat="1" applyFill="1" applyBorder="1" applyAlignment="1">
      <alignment horizontal="center"/>
    </xf>
    <xf numFmtId="2" fontId="0" fillId="40" borderId="29" xfId="0" applyNumberFormat="1" applyFill="1" applyBorder="1" applyAlignment="1">
      <alignment horizontal="center"/>
    </xf>
    <xf numFmtId="2" fontId="0" fillId="40" borderId="30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166" fontId="0" fillId="0" borderId="28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0" fontId="0" fillId="0" borderId="41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2" fontId="0" fillId="0" borderId="41" xfId="0" applyNumberFormat="1" applyFill="1" applyBorder="1" applyAlignment="1" applyProtection="1">
      <alignment horizontal="center"/>
      <protection/>
    </xf>
    <xf numFmtId="2" fontId="0" fillId="0" borderId="42" xfId="0" applyNumberFormat="1" applyFill="1" applyBorder="1" applyAlignment="1" applyProtection="1">
      <alignment horizontal="center"/>
      <protection/>
    </xf>
    <xf numFmtId="2" fontId="0" fillId="0" borderId="43" xfId="0" applyNumberForma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3" fontId="0" fillId="0" borderId="46" xfId="0" applyNumberFormat="1" applyFill="1" applyBorder="1" applyAlignment="1" applyProtection="1">
      <alignment horizontal="center"/>
      <protection/>
    </xf>
    <xf numFmtId="3" fontId="0" fillId="0" borderId="48" xfId="0" applyNumberForma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52" xfId="0" applyFill="1" applyBorder="1" applyAlignment="1">
      <alignment horizontal="center"/>
    </xf>
    <xf numFmtId="3" fontId="0" fillId="0" borderId="53" xfId="0" applyNumberFormat="1" applyFill="1" applyBorder="1" applyAlignment="1" applyProtection="1">
      <alignment horizontal="center"/>
      <protection/>
    </xf>
    <xf numFmtId="3" fontId="0" fillId="0" borderId="54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41" xfId="0" applyNumberFormat="1" applyFill="1" applyBorder="1" applyAlignment="1">
      <alignment horizontal="center"/>
    </xf>
    <xf numFmtId="0" fontId="0" fillId="0" borderId="42" xfId="0" applyNumberFormat="1" applyFill="1" applyBorder="1" applyAlignment="1">
      <alignment horizontal="center"/>
    </xf>
    <xf numFmtId="0" fontId="0" fillId="0" borderId="43" xfId="0" applyNumberFormat="1" applyFill="1" applyBorder="1" applyAlignment="1">
      <alignment horizont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3" fontId="0" fillId="0" borderId="55" xfId="0" applyNumberFormat="1" applyFill="1" applyBorder="1" applyAlignment="1" applyProtection="1">
      <alignment horizontal="center"/>
      <protection/>
    </xf>
    <xf numFmtId="3" fontId="0" fillId="0" borderId="56" xfId="0" applyNumberForma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/>
      <protection/>
    </xf>
    <xf numFmtId="2" fontId="0" fillId="0" borderId="11" xfId="0" applyNumberFormat="1" applyFill="1" applyBorder="1" applyAlignment="1" applyProtection="1">
      <alignment horizontal="center"/>
      <protection/>
    </xf>
    <xf numFmtId="2" fontId="0" fillId="0" borderId="12" xfId="0" applyNumberFormat="1" applyFill="1" applyBorder="1" applyAlignment="1" applyProtection="1">
      <alignment horizontal="center"/>
      <protection/>
    </xf>
    <xf numFmtId="0" fontId="0" fillId="0" borderId="5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22" fontId="0" fillId="0" borderId="41" xfId="0" applyNumberFormat="1" applyFill="1" applyBorder="1" applyAlignment="1">
      <alignment horizontal="center"/>
    </xf>
    <xf numFmtId="22" fontId="0" fillId="0" borderId="42" xfId="0" applyNumberFormat="1" applyFill="1" applyBorder="1" applyAlignment="1">
      <alignment horizontal="center"/>
    </xf>
    <xf numFmtId="22" fontId="0" fillId="0" borderId="43" xfId="0" applyNumberFormat="1" applyFill="1" applyBorder="1" applyAlignment="1">
      <alignment horizontal="center"/>
    </xf>
    <xf numFmtId="0" fontId="0" fillId="42" borderId="41" xfId="0" applyFill="1" applyBorder="1" applyAlignment="1">
      <alignment horizontal="center"/>
    </xf>
    <xf numFmtId="0" fontId="0" fillId="42" borderId="43" xfId="0" applyFill="1" applyBorder="1" applyAlignment="1">
      <alignment horizontal="center"/>
    </xf>
    <xf numFmtId="1" fontId="0" fillId="0" borderId="41" xfId="0" applyNumberFormat="1" applyFill="1" applyBorder="1" applyAlignment="1" applyProtection="1">
      <alignment horizontal="center"/>
      <protection/>
    </xf>
    <xf numFmtId="0" fontId="0" fillId="0" borderId="42" xfId="0" applyNumberFormat="1" applyFill="1" applyBorder="1" applyAlignment="1" applyProtection="1">
      <alignment horizontal="center"/>
      <protection/>
    </xf>
    <xf numFmtId="0" fontId="0" fillId="0" borderId="43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49" fontId="0" fillId="36" borderId="10" xfId="0" applyNumberFormat="1" applyFill="1" applyBorder="1" applyAlignment="1" applyProtection="1">
      <alignment horizontal="center" vertical="top"/>
      <protection/>
    </xf>
    <xf numFmtId="49" fontId="0" fillId="36" borderId="11" xfId="0" applyNumberFormat="1" applyFill="1" applyBorder="1" applyAlignment="1" applyProtection="1">
      <alignment horizontal="center" vertical="top"/>
      <protection/>
    </xf>
    <xf numFmtId="49" fontId="0" fillId="36" borderId="12" xfId="0" applyNumberFormat="1" applyFill="1" applyBorder="1" applyAlignment="1" applyProtection="1">
      <alignment horizontal="center" vertical="top"/>
      <protection/>
    </xf>
    <xf numFmtId="0" fontId="2" fillId="36" borderId="10" xfId="0" applyNumberFormat="1" applyFont="1" applyFill="1" applyBorder="1" applyAlignment="1" applyProtection="1">
      <alignment horizontal="center" vertical="top"/>
      <protection/>
    </xf>
    <xf numFmtId="0" fontId="2" fillId="36" borderId="11" xfId="0" applyNumberFormat="1" applyFont="1" applyFill="1" applyBorder="1" applyAlignment="1" applyProtection="1">
      <alignment horizontal="center" vertical="top"/>
      <protection/>
    </xf>
    <xf numFmtId="0" fontId="2" fillId="36" borderId="12" xfId="0" applyNumberFormat="1" applyFont="1" applyFill="1" applyBorder="1" applyAlignment="1" applyProtection="1">
      <alignment horizontal="center" vertical="top"/>
      <protection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36" borderId="13" xfId="0" applyNumberFormat="1" applyFill="1" applyBorder="1" applyAlignment="1" applyProtection="1">
      <alignment horizontal="center" vertical="top"/>
      <protection/>
    </xf>
    <xf numFmtId="49" fontId="0" fillId="36" borderId="0" xfId="0" applyNumberFormat="1" applyFill="1" applyBorder="1" applyAlignment="1" applyProtection="1">
      <alignment horizontal="center" vertical="top"/>
      <protection/>
    </xf>
    <xf numFmtId="49" fontId="0" fillId="36" borderId="15" xfId="0" applyNumberFormat="1" applyFill="1" applyBorder="1" applyAlignment="1" applyProtection="1">
      <alignment horizontal="center" vertical="top"/>
      <protection/>
    </xf>
    <xf numFmtId="0" fontId="2" fillId="36" borderId="13" xfId="0" applyNumberFormat="1" applyFont="1" applyFill="1" applyBorder="1" applyAlignment="1" applyProtection="1">
      <alignment horizontal="center" vertical="top"/>
      <protection/>
    </xf>
    <xf numFmtId="0" fontId="2" fillId="36" borderId="0" xfId="0" applyNumberFormat="1" applyFont="1" applyFill="1" applyBorder="1" applyAlignment="1" applyProtection="1">
      <alignment horizontal="center" vertical="top"/>
      <protection/>
    </xf>
    <xf numFmtId="0" fontId="2" fillId="36" borderId="15" xfId="0" applyNumberFormat="1" applyFont="1" applyFill="1" applyBorder="1" applyAlignment="1" applyProtection="1">
      <alignment horizontal="center" vertical="top"/>
      <protection/>
    </xf>
    <xf numFmtId="0" fontId="0" fillId="0" borderId="43" xfId="0" applyFill="1" applyBorder="1" applyAlignment="1">
      <alignment/>
    </xf>
    <xf numFmtId="0" fontId="0" fillId="0" borderId="60" xfId="0" applyFill="1" applyBorder="1" applyAlignment="1">
      <alignment/>
    </xf>
    <xf numFmtId="0" fontId="0" fillId="36" borderId="13" xfId="0" applyNumberFormat="1" applyFill="1" applyBorder="1" applyAlignment="1" applyProtection="1">
      <alignment horizontal="center" vertical="top"/>
      <protection/>
    </xf>
    <xf numFmtId="0" fontId="0" fillId="36" borderId="0" xfId="0" applyNumberFormat="1" applyFill="1" applyBorder="1" applyAlignment="1" applyProtection="1">
      <alignment horizontal="center" vertical="top"/>
      <protection/>
    </xf>
    <xf numFmtId="0" fontId="0" fillId="36" borderId="15" xfId="0" applyNumberFormat="1" applyFill="1" applyBorder="1" applyAlignment="1" applyProtection="1">
      <alignment horizontal="center" vertical="top"/>
      <protection/>
    </xf>
    <xf numFmtId="0" fontId="0" fillId="36" borderId="13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1" xfId="0" applyFill="1" applyBorder="1" applyAlignment="1">
      <alignment/>
    </xf>
    <xf numFmtId="2" fontId="2" fillId="36" borderId="13" xfId="0" applyNumberFormat="1" applyFont="1" applyFill="1" applyBorder="1" applyAlignment="1" applyProtection="1">
      <alignment horizontal="right" vertical="top"/>
      <protection/>
    </xf>
    <xf numFmtId="2" fontId="2" fillId="36" borderId="0" xfId="0" applyNumberFormat="1" applyFont="1" applyFill="1" applyBorder="1" applyAlignment="1" applyProtection="1">
      <alignment horizontal="right" vertical="top"/>
      <protection/>
    </xf>
    <xf numFmtId="0" fontId="2" fillId="36" borderId="0" xfId="0" applyNumberFormat="1" applyFont="1" applyFill="1" applyBorder="1" applyAlignment="1" applyProtection="1">
      <alignment horizontal="left" vertical="top"/>
      <protection/>
    </xf>
    <xf numFmtId="0" fontId="2" fillId="36" borderId="15" xfId="0" applyNumberFormat="1" applyFont="1" applyFill="1" applyBorder="1" applyAlignment="1" applyProtection="1">
      <alignment horizontal="left" vertical="top"/>
      <protection/>
    </xf>
    <xf numFmtId="49" fontId="0" fillId="36" borderId="16" xfId="0" applyNumberFormat="1" applyFill="1" applyBorder="1" applyAlignment="1" applyProtection="1">
      <alignment horizontal="center" vertical="top"/>
      <protection/>
    </xf>
    <xf numFmtId="49" fontId="0" fillId="36" borderId="14" xfId="0" applyNumberFormat="1" applyFill="1" applyBorder="1" applyAlignment="1" applyProtection="1">
      <alignment horizontal="center" vertical="top"/>
      <protection/>
    </xf>
    <xf numFmtId="49" fontId="0" fillId="36" borderId="17" xfId="0" applyNumberFormat="1" applyFill="1" applyBorder="1" applyAlignment="1" applyProtection="1">
      <alignment horizontal="center" vertical="top"/>
      <protection/>
    </xf>
    <xf numFmtId="0" fontId="2" fillId="36" borderId="16" xfId="0" applyNumberFormat="1" applyFont="1" applyFill="1" applyBorder="1" applyAlignment="1" applyProtection="1">
      <alignment horizontal="center" vertical="top"/>
      <protection/>
    </xf>
    <xf numFmtId="0" fontId="2" fillId="36" borderId="14" xfId="0" applyNumberFormat="1" applyFont="1" applyFill="1" applyBorder="1" applyAlignment="1" applyProtection="1">
      <alignment horizontal="center" vertical="top"/>
      <protection/>
    </xf>
    <xf numFmtId="0" fontId="2" fillId="36" borderId="17" xfId="0" applyNumberFormat="1" applyFont="1" applyFill="1" applyBorder="1" applyAlignment="1" applyProtection="1">
      <alignment horizontal="center" vertical="top"/>
      <protection/>
    </xf>
    <xf numFmtId="49" fontId="2" fillId="36" borderId="13" xfId="0" applyNumberFormat="1" applyFont="1" applyFill="1" applyBorder="1" applyAlignment="1" applyProtection="1">
      <alignment horizontal="center" vertical="top"/>
      <protection/>
    </xf>
    <xf numFmtId="49" fontId="2" fillId="36" borderId="0" xfId="0" applyNumberFormat="1" applyFont="1" applyFill="1" applyBorder="1" applyAlignment="1" applyProtection="1">
      <alignment horizontal="center" vertical="top"/>
      <protection/>
    </xf>
    <xf numFmtId="49" fontId="2" fillId="36" borderId="15" xfId="0" applyNumberFormat="1" applyFont="1" applyFill="1" applyBorder="1" applyAlignment="1" applyProtection="1">
      <alignment horizontal="center" vertical="top"/>
      <protection/>
    </xf>
    <xf numFmtId="0" fontId="2" fillId="36" borderId="16" xfId="0" applyNumberFormat="1" applyFont="1" applyFill="1" applyBorder="1" applyAlignment="1" applyProtection="1">
      <alignment vertical="top"/>
      <protection/>
    </xf>
    <xf numFmtId="0" fontId="2" fillId="36" borderId="14" xfId="0" applyNumberFormat="1" applyFont="1" applyFill="1" applyBorder="1" applyAlignment="1" applyProtection="1">
      <alignment vertical="top"/>
      <protection/>
    </xf>
    <xf numFmtId="0" fontId="2" fillId="36" borderId="17" xfId="0" applyNumberFormat="1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6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22"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'1'!X22" /><Relationship Id="rId4" Type="http://schemas.openxmlformats.org/officeDocument/2006/relationships/hyperlink" Target="#'1'!X22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10'!X22" /><Relationship Id="rId3" Type="http://schemas.openxmlformats.org/officeDocument/2006/relationships/hyperlink" Target="#'10'!X22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uitkomst!X22" /><Relationship Id="rId3" Type="http://schemas.openxmlformats.org/officeDocument/2006/relationships/hyperlink" Target="#uitkomst!X22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ijsboer%20scores.xlsx" TargetMode="External" /><Relationship Id="rId2" Type="http://schemas.openxmlformats.org/officeDocument/2006/relationships/image" Target="../media/image5.png" /><Relationship Id="rId3" Type="http://schemas.openxmlformats.org/officeDocument/2006/relationships/hyperlink" Target="#begin!A1" /><Relationship Id="rId4" Type="http://schemas.openxmlformats.org/officeDocument/2006/relationships/hyperlink" Target="#begin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2'!X22" /><Relationship Id="rId3" Type="http://schemas.openxmlformats.org/officeDocument/2006/relationships/hyperlink" Target="#'2'!X22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3'!X22" /><Relationship Id="rId3" Type="http://schemas.openxmlformats.org/officeDocument/2006/relationships/hyperlink" Target="#'3'!X22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4'!X22" /><Relationship Id="rId3" Type="http://schemas.openxmlformats.org/officeDocument/2006/relationships/hyperlink" Target="#'4'!X22" /><Relationship Id="rId4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5'!X22" /><Relationship Id="rId3" Type="http://schemas.openxmlformats.org/officeDocument/2006/relationships/hyperlink" Target="#'5'!X22" /><Relationship Id="rId4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6'!X22" /><Relationship Id="rId3" Type="http://schemas.openxmlformats.org/officeDocument/2006/relationships/hyperlink" Target="#'6'!X22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7'!X22" /><Relationship Id="rId3" Type="http://schemas.openxmlformats.org/officeDocument/2006/relationships/hyperlink" Target="#'7'!X22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8'!X22" /><Relationship Id="rId3" Type="http://schemas.openxmlformats.org/officeDocument/2006/relationships/hyperlink" Target="#'8'!X22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9'!X22" /><Relationship Id="rId3" Type="http://schemas.openxmlformats.org/officeDocument/2006/relationships/hyperlink" Target="#'9'!X22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3</xdr:row>
      <xdr:rowOff>95250</xdr:rowOff>
    </xdr:from>
    <xdr:to>
      <xdr:col>28</xdr:col>
      <xdr:colOff>238125</xdr:colOff>
      <xdr:row>9</xdr:row>
      <xdr:rowOff>190500</xdr:rowOff>
    </xdr:to>
    <xdr:sp>
      <xdr:nvSpPr>
        <xdr:cNvPr id="1" name="Tekstvak 52"/>
        <xdr:cNvSpPr txBox="1">
          <a:spLocks noChangeArrowheads="1"/>
        </xdr:cNvSpPr>
      </xdr:nvSpPr>
      <xdr:spPr>
        <a:xfrm>
          <a:off x="6191250" y="666750"/>
          <a:ext cx="98107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hier kun je zien hoe duur je de ijsjes in kan kopen</a:t>
          </a:r>
        </a:p>
      </xdr:txBody>
    </xdr:sp>
    <xdr:clientData/>
  </xdr:twoCellAnchor>
  <xdr:twoCellAnchor>
    <xdr:from>
      <xdr:col>26</xdr:col>
      <xdr:colOff>228600</xdr:colOff>
      <xdr:row>2</xdr:row>
      <xdr:rowOff>171450</xdr:rowOff>
    </xdr:from>
    <xdr:to>
      <xdr:col>27</xdr:col>
      <xdr:colOff>0</xdr:colOff>
      <xdr:row>3</xdr:row>
      <xdr:rowOff>133350</xdr:rowOff>
    </xdr:to>
    <xdr:sp>
      <xdr:nvSpPr>
        <xdr:cNvPr id="2" name="Rechte verbindingslijn met pijl 56"/>
        <xdr:cNvSpPr>
          <a:spLocks/>
        </xdr:cNvSpPr>
      </xdr:nvSpPr>
      <xdr:spPr>
        <a:xfrm rot="5400000" flipH="1" flipV="1">
          <a:off x="6667500" y="552450"/>
          <a:ext cx="19050" cy="152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219075</xdr:colOff>
      <xdr:row>14</xdr:row>
      <xdr:rowOff>0</xdr:rowOff>
    </xdr:from>
    <xdr:to>
      <xdr:col>23</xdr:col>
      <xdr:colOff>0</xdr:colOff>
      <xdr:row>16</xdr:row>
      <xdr:rowOff>19050</xdr:rowOff>
    </xdr:to>
    <xdr:sp>
      <xdr:nvSpPr>
        <xdr:cNvPr id="3" name="Rechte verbindingslijn met pijl 60"/>
        <xdr:cNvSpPr>
          <a:spLocks/>
        </xdr:cNvSpPr>
      </xdr:nvSpPr>
      <xdr:spPr>
        <a:xfrm rot="5400000" flipH="1" flipV="1">
          <a:off x="5419725" y="2667000"/>
          <a:ext cx="276225" cy="400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21</xdr:col>
      <xdr:colOff>228600</xdr:colOff>
      <xdr:row>16</xdr:row>
      <xdr:rowOff>19050</xdr:rowOff>
    </xdr:to>
    <xdr:sp>
      <xdr:nvSpPr>
        <xdr:cNvPr id="4" name="Rechte verbindingslijn met pijl 58"/>
        <xdr:cNvSpPr>
          <a:spLocks/>
        </xdr:cNvSpPr>
      </xdr:nvSpPr>
      <xdr:spPr>
        <a:xfrm rot="16200000" flipV="1">
          <a:off x="4705350" y="2857500"/>
          <a:ext cx="723900" cy="2095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85725</xdr:rowOff>
    </xdr:from>
    <xdr:to>
      <xdr:col>24</xdr:col>
      <xdr:colOff>228600</xdr:colOff>
      <xdr:row>9</xdr:row>
      <xdr:rowOff>190500</xdr:rowOff>
    </xdr:to>
    <xdr:sp>
      <xdr:nvSpPr>
        <xdr:cNvPr id="5" name="Tekstvak 51"/>
        <xdr:cNvSpPr txBox="1">
          <a:spLocks noChangeArrowheads="1"/>
        </xdr:cNvSpPr>
      </xdr:nvSpPr>
      <xdr:spPr>
        <a:xfrm>
          <a:off x="5200650" y="657225"/>
          <a:ext cx="97155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komt te staan of er een orkaan, vloedgolf, ect aan kom</a:t>
          </a:r>
        </a:p>
      </xdr:txBody>
    </xdr:sp>
    <xdr:clientData/>
  </xdr:twoCellAnchor>
  <xdr:twoCellAnchor>
    <xdr:from>
      <xdr:col>22</xdr:col>
      <xdr:colOff>228600</xdr:colOff>
      <xdr:row>2</xdr:row>
      <xdr:rowOff>180975</xdr:rowOff>
    </xdr:from>
    <xdr:to>
      <xdr:col>23</xdr:col>
      <xdr:colOff>0</xdr:colOff>
      <xdr:row>3</xdr:row>
      <xdr:rowOff>142875</xdr:rowOff>
    </xdr:to>
    <xdr:sp>
      <xdr:nvSpPr>
        <xdr:cNvPr id="6" name="Rechte verbindingslijn met pijl 55"/>
        <xdr:cNvSpPr>
          <a:spLocks/>
        </xdr:cNvSpPr>
      </xdr:nvSpPr>
      <xdr:spPr>
        <a:xfrm rot="5400000" flipH="1" flipV="1">
          <a:off x="5676900" y="561975"/>
          <a:ext cx="19050" cy="152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16</xdr:col>
      <xdr:colOff>171450</xdr:colOff>
      <xdr:row>27</xdr:row>
      <xdr:rowOff>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95500"/>
          <a:ext cx="38862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>
      <xdr:nvSpPr>
        <xdr:cNvPr id="8" name="Rechte verbindingslijn met pijl 67"/>
        <xdr:cNvSpPr>
          <a:spLocks/>
        </xdr:cNvSpPr>
      </xdr:nvSpPr>
      <xdr:spPr>
        <a:xfrm rot="10800000">
          <a:off x="3962400" y="3429000"/>
          <a:ext cx="247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85725</xdr:rowOff>
    </xdr:from>
    <xdr:to>
      <xdr:col>20</xdr:col>
      <xdr:colOff>228600</xdr:colOff>
      <xdr:row>9</xdr:row>
      <xdr:rowOff>190500</xdr:rowOff>
    </xdr:to>
    <xdr:sp>
      <xdr:nvSpPr>
        <xdr:cNvPr id="9" name="Tekstvak 49"/>
        <xdr:cNvSpPr txBox="1">
          <a:spLocks noChangeArrowheads="1"/>
        </xdr:cNvSpPr>
      </xdr:nvSpPr>
      <xdr:spPr>
        <a:xfrm>
          <a:off x="4210050" y="657225"/>
          <a:ext cx="97155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wind waaien de booren om en als het slecht weer is verkoop je minder</a:t>
          </a:r>
        </a:p>
      </xdr:txBody>
    </xdr:sp>
    <xdr:clientData/>
  </xdr:twoCellAnchor>
  <xdr:twoCellAnchor>
    <xdr:from>
      <xdr:col>18</xdr:col>
      <xdr:colOff>228600</xdr:colOff>
      <xdr:row>2</xdr:row>
      <xdr:rowOff>190500</xdr:rowOff>
    </xdr:from>
    <xdr:to>
      <xdr:col>19</xdr:col>
      <xdr:colOff>0</xdr:colOff>
      <xdr:row>3</xdr:row>
      <xdr:rowOff>152400</xdr:rowOff>
    </xdr:to>
    <xdr:sp>
      <xdr:nvSpPr>
        <xdr:cNvPr id="10" name="Rechte verbindingslijn met pijl 48"/>
        <xdr:cNvSpPr>
          <a:spLocks/>
        </xdr:cNvSpPr>
      </xdr:nvSpPr>
      <xdr:spPr>
        <a:xfrm rot="5400000" flipH="1" flipV="1">
          <a:off x="4686300" y="571500"/>
          <a:ext cx="19050" cy="152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85725</xdr:rowOff>
    </xdr:from>
    <xdr:to>
      <xdr:col>8</xdr:col>
      <xdr:colOff>57150</xdr:colOff>
      <xdr:row>7</xdr:row>
      <xdr:rowOff>104775</xdr:rowOff>
    </xdr:to>
    <xdr:sp>
      <xdr:nvSpPr>
        <xdr:cNvPr id="11" name="Rechte verbindingslijn met pijl 32"/>
        <xdr:cNvSpPr>
          <a:spLocks/>
        </xdr:cNvSpPr>
      </xdr:nvSpPr>
      <xdr:spPr>
        <a:xfrm rot="10800000" flipV="1">
          <a:off x="1790700" y="1419225"/>
          <a:ext cx="2476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6</xdr:row>
      <xdr:rowOff>76200</xdr:rowOff>
    </xdr:from>
    <xdr:to>
      <xdr:col>8</xdr:col>
      <xdr:colOff>76200</xdr:colOff>
      <xdr:row>6</xdr:row>
      <xdr:rowOff>114300</xdr:rowOff>
    </xdr:to>
    <xdr:sp>
      <xdr:nvSpPr>
        <xdr:cNvPr id="12" name="Rechte verbindingslijn met pijl 25"/>
        <xdr:cNvSpPr>
          <a:spLocks/>
        </xdr:cNvSpPr>
      </xdr:nvSpPr>
      <xdr:spPr>
        <a:xfrm rot="10800000" flipV="1">
          <a:off x="1762125" y="1219200"/>
          <a:ext cx="295275" cy="38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114300</xdr:rowOff>
    </xdr:from>
    <xdr:to>
      <xdr:col>8</xdr:col>
      <xdr:colOff>57150</xdr:colOff>
      <xdr:row>5</xdr:row>
      <xdr:rowOff>114300</xdr:rowOff>
    </xdr:to>
    <xdr:sp>
      <xdr:nvSpPr>
        <xdr:cNvPr id="13" name="Rechte verbindingslijn met pijl 17"/>
        <xdr:cNvSpPr>
          <a:spLocks/>
        </xdr:cNvSpPr>
      </xdr:nvSpPr>
      <xdr:spPr>
        <a:xfrm rot="10800000">
          <a:off x="1752600" y="1066800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104775</xdr:rowOff>
    </xdr:from>
    <xdr:to>
      <xdr:col>8</xdr:col>
      <xdr:colOff>76200</xdr:colOff>
      <xdr:row>4</xdr:row>
      <xdr:rowOff>142875</xdr:rowOff>
    </xdr:to>
    <xdr:sp>
      <xdr:nvSpPr>
        <xdr:cNvPr id="14" name="Rechte verbindingslijn met pijl 16"/>
        <xdr:cNvSpPr>
          <a:spLocks/>
        </xdr:cNvSpPr>
      </xdr:nvSpPr>
      <xdr:spPr>
        <a:xfrm rot="10800000">
          <a:off x="1752600" y="866775"/>
          <a:ext cx="304800" cy="38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104775</xdr:colOff>
      <xdr:row>3</xdr:row>
      <xdr:rowOff>104775</xdr:rowOff>
    </xdr:from>
    <xdr:to>
      <xdr:col>8</xdr:col>
      <xdr:colOff>66675</xdr:colOff>
      <xdr:row>3</xdr:row>
      <xdr:rowOff>152400</xdr:rowOff>
    </xdr:to>
    <xdr:sp>
      <xdr:nvSpPr>
        <xdr:cNvPr id="15" name="Rechte verbindingslijn met pijl 3"/>
        <xdr:cNvSpPr>
          <a:spLocks/>
        </xdr:cNvSpPr>
      </xdr:nvSpPr>
      <xdr:spPr>
        <a:xfrm rot="10800000">
          <a:off x="1838325" y="676275"/>
          <a:ext cx="209550" cy="47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4</xdr:row>
      <xdr:rowOff>104775</xdr:rowOff>
    </xdr:from>
    <xdr:to>
      <xdr:col>6</xdr:col>
      <xdr:colOff>247650</xdr:colOff>
      <xdr:row>9</xdr:row>
      <xdr:rowOff>190500</xdr:rowOff>
    </xdr:to>
    <xdr:sp>
      <xdr:nvSpPr>
        <xdr:cNvPr id="16" name="Rechte verbindingslijn met pijl 73"/>
        <xdr:cNvSpPr>
          <a:spLocks/>
        </xdr:cNvSpPr>
      </xdr:nvSpPr>
      <xdr:spPr>
        <a:xfrm rot="5400000" flipH="1" flipV="1">
          <a:off x="1114425" y="866775"/>
          <a:ext cx="619125" cy="10382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9525</xdr:rowOff>
    </xdr:from>
    <xdr:to>
      <xdr:col>15</xdr:col>
      <xdr:colOff>219075</xdr:colOff>
      <xdr:row>7</xdr:row>
      <xdr:rowOff>190500</xdr:rowOff>
    </xdr:to>
    <xdr:sp>
      <xdr:nvSpPr>
        <xdr:cNvPr id="17" name="Tekstvak 4"/>
        <xdr:cNvSpPr txBox="1">
          <a:spLocks noChangeArrowheads="1"/>
        </xdr:cNvSpPr>
      </xdr:nvSpPr>
      <xdr:spPr>
        <a:xfrm>
          <a:off x="1990725" y="581025"/>
          <a:ext cx="1943100" cy="9429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4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ronde</a:t>
          </a:r>
          <a:r>
            <a:rPr lang="en-US" cap="none" sz="94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nummer</a:t>
          </a:r>
          <a:r>
            <a:rPr lang="en-US" cap="none" sz="94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94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waar je wilt staan
</a:t>
          </a:r>
          <a:r>
            <a:rPr lang="en-US" cap="none" sz="94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ijsjes die je inslaat
</a:t>
          </a:r>
          <a:r>
            <a:rPr lang="en-US" cap="none" sz="94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ijsje</a:t>
          </a:r>
          <a:r>
            <a:rPr lang="en-US" cap="none" sz="94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per stuk</a:t>
          </a:r>
          <a:r>
            <a:rPr lang="en-US" cap="none" sz="94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94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reclame</a:t>
          </a:r>
        </a:p>
      </xdr:txBody>
    </xdr:sp>
    <xdr:clientData/>
  </xdr:twoCellAnchor>
  <xdr:twoCellAnchor>
    <xdr:from>
      <xdr:col>17</xdr:col>
      <xdr:colOff>9525</xdr:colOff>
      <xdr:row>17</xdr:row>
      <xdr:rowOff>76200</xdr:rowOff>
    </xdr:from>
    <xdr:to>
      <xdr:col>20</xdr:col>
      <xdr:colOff>238125</xdr:colOff>
      <xdr:row>18</xdr:row>
      <xdr:rowOff>123825</xdr:rowOff>
    </xdr:to>
    <xdr:sp>
      <xdr:nvSpPr>
        <xdr:cNvPr id="18" name="Tekstvak 66"/>
        <xdr:cNvSpPr txBox="1">
          <a:spLocks noChangeArrowheads="1"/>
        </xdr:cNvSpPr>
      </xdr:nvSpPr>
      <xdr:spPr>
        <a:xfrm>
          <a:off x="4219575" y="3314700"/>
          <a:ext cx="9715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gebied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kaart</a:t>
          </a:r>
        </a:p>
      </xdr:txBody>
    </xdr:sp>
    <xdr:clientData/>
  </xdr:twoCellAnchor>
  <xdr:twoCellAnchor>
    <xdr:from>
      <xdr:col>19</xdr:col>
      <xdr:colOff>0</xdr:colOff>
      <xdr:row>16</xdr:row>
      <xdr:rowOff>19050</xdr:rowOff>
    </xdr:from>
    <xdr:to>
      <xdr:col>24</xdr:col>
      <xdr:colOff>200025</xdr:colOff>
      <xdr:row>17</xdr:row>
      <xdr:rowOff>28575</xdr:rowOff>
    </xdr:to>
    <xdr:sp>
      <xdr:nvSpPr>
        <xdr:cNvPr id="19" name="Tekstvak 57"/>
        <xdr:cNvSpPr txBox="1">
          <a:spLocks noChangeArrowheads="1"/>
        </xdr:cNvSpPr>
      </xdr:nvSpPr>
      <xdr:spPr>
        <a:xfrm>
          <a:off x="4705350" y="3067050"/>
          <a:ext cx="1438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tips alleen in ronde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</a:t>
          </a:r>
        </a:p>
      </xdr:txBody>
    </xdr:sp>
    <xdr:clientData/>
  </xdr:twoCellAnchor>
  <xdr:twoCellAnchor>
    <xdr:from>
      <xdr:col>0</xdr:col>
      <xdr:colOff>0</xdr:colOff>
      <xdr:row>9</xdr:row>
      <xdr:rowOff>190500</xdr:rowOff>
    </xdr:from>
    <xdr:to>
      <xdr:col>9</xdr:col>
      <xdr:colOff>0</xdr:colOff>
      <xdr:row>11</xdr:row>
      <xdr:rowOff>0</xdr:rowOff>
    </xdr:to>
    <xdr:sp>
      <xdr:nvSpPr>
        <xdr:cNvPr id="20" name="Tekstvak 72"/>
        <xdr:cNvSpPr txBox="1">
          <a:spLocks noChangeArrowheads="1"/>
        </xdr:cNvSpPr>
      </xdr:nvSpPr>
      <xdr:spPr>
        <a:xfrm>
          <a:off x="0" y="1905000"/>
          <a:ext cx="2228850" cy="1905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vergeet deze niet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in te vullen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30</xdr:col>
      <xdr:colOff>9525</xdr:colOff>
      <xdr:row>27</xdr:row>
      <xdr:rowOff>0</xdr:rowOff>
    </xdr:to>
    <xdr:sp>
      <xdr:nvSpPr>
        <xdr:cNvPr id="21" name="Rechthoek 35"/>
        <xdr:cNvSpPr>
          <a:spLocks/>
        </xdr:cNvSpPr>
      </xdr:nvSpPr>
      <xdr:spPr>
        <a:xfrm>
          <a:off x="0" y="0"/>
          <a:ext cx="7439025" cy="51435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19</xdr:col>
      <xdr:colOff>0</xdr:colOff>
      <xdr:row>19</xdr:row>
      <xdr:rowOff>0</xdr:rowOff>
    </xdr:from>
    <xdr:to>
      <xdr:col>29</xdr:col>
      <xdr:colOff>219075</xdr:colOff>
      <xdr:row>26</xdr:row>
      <xdr:rowOff>171450</xdr:rowOff>
    </xdr:to>
    <xdr:pic>
      <xdr:nvPicPr>
        <xdr:cNvPr id="22" name="Picture 2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3619500"/>
          <a:ext cx="26955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19</xdr:row>
      <xdr:rowOff>0</xdr:rowOff>
    </xdr:from>
    <xdr:to>
      <xdr:col>29</xdr:col>
      <xdr:colOff>190500</xdr:colOff>
      <xdr:row>26</xdr:row>
      <xdr:rowOff>180975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3619500"/>
          <a:ext cx="2667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16</xdr:col>
      <xdr:colOff>171450</xdr:colOff>
      <xdr:row>27</xdr:row>
      <xdr:rowOff>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2095500"/>
          <a:ext cx="38862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19</xdr:row>
      <xdr:rowOff>0</xdr:rowOff>
    </xdr:from>
    <xdr:to>
      <xdr:col>29</xdr:col>
      <xdr:colOff>209550</xdr:colOff>
      <xdr:row>27</xdr:row>
      <xdr:rowOff>0</xdr:rowOff>
    </xdr:to>
    <xdr:pic>
      <xdr:nvPicPr>
        <xdr:cNvPr id="1" name="Pictur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3619500"/>
          <a:ext cx="26860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16</xdr:col>
      <xdr:colOff>171450</xdr:colOff>
      <xdr:row>27</xdr:row>
      <xdr:rowOff>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2095500"/>
          <a:ext cx="38862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21</xdr:row>
      <xdr:rowOff>0</xdr:rowOff>
    </xdr:from>
    <xdr:to>
      <xdr:col>3</xdr:col>
      <xdr:colOff>0</xdr:colOff>
      <xdr:row>29</xdr:row>
      <xdr:rowOff>85725</xdr:rowOff>
    </xdr:to>
    <xdr:sp>
      <xdr:nvSpPr>
        <xdr:cNvPr id="1" name="PIJL-RECHTS 1">
          <a:hlinkClick r:id="rId1"/>
        </xdr:cNvPr>
        <xdr:cNvSpPr>
          <a:spLocks/>
        </xdr:cNvSpPr>
      </xdr:nvSpPr>
      <xdr:spPr>
        <a:xfrm>
          <a:off x="4762500" y="4000500"/>
          <a:ext cx="2609850" cy="1609725"/>
        </a:xfrm>
        <a:prstGeom prst="rightArrow">
          <a:avLst>
            <a:gd name="adj" fmla="val 191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invoeren</a:t>
          </a:r>
        </a:p>
      </xdr:txBody>
    </xdr:sp>
    <xdr:clientData/>
  </xdr:twoCellAnchor>
  <xdr:twoCellAnchor editAs="oneCell">
    <xdr:from>
      <xdr:col>0</xdr:col>
      <xdr:colOff>38100</xdr:colOff>
      <xdr:row>21</xdr:row>
      <xdr:rowOff>0</xdr:rowOff>
    </xdr:from>
    <xdr:to>
      <xdr:col>1</xdr:col>
      <xdr:colOff>2657475</xdr:colOff>
      <xdr:row>29</xdr:row>
      <xdr:rowOff>114300</xdr:rowOff>
    </xdr:to>
    <xdr:pic>
      <xdr:nvPicPr>
        <xdr:cNvPr id="2" name="Picture 26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000500"/>
          <a:ext cx="2667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19</xdr:row>
      <xdr:rowOff>0</xdr:rowOff>
    </xdr:from>
    <xdr:to>
      <xdr:col>29</xdr:col>
      <xdr:colOff>190500</xdr:colOff>
      <xdr:row>26</xdr:row>
      <xdr:rowOff>180975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3619500"/>
          <a:ext cx="2667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16</xdr:col>
      <xdr:colOff>171450</xdr:colOff>
      <xdr:row>27</xdr:row>
      <xdr:rowOff>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2095500"/>
          <a:ext cx="38862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19</xdr:row>
      <xdr:rowOff>0</xdr:rowOff>
    </xdr:from>
    <xdr:to>
      <xdr:col>29</xdr:col>
      <xdr:colOff>190500</xdr:colOff>
      <xdr:row>26</xdr:row>
      <xdr:rowOff>180975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3619500"/>
          <a:ext cx="2667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16</xdr:col>
      <xdr:colOff>171450</xdr:colOff>
      <xdr:row>27</xdr:row>
      <xdr:rowOff>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2095500"/>
          <a:ext cx="38862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19</xdr:row>
      <xdr:rowOff>0</xdr:rowOff>
    </xdr:from>
    <xdr:to>
      <xdr:col>29</xdr:col>
      <xdr:colOff>190500</xdr:colOff>
      <xdr:row>26</xdr:row>
      <xdr:rowOff>180975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3619500"/>
          <a:ext cx="2667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16</xdr:col>
      <xdr:colOff>171450</xdr:colOff>
      <xdr:row>27</xdr:row>
      <xdr:rowOff>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2095500"/>
          <a:ext cx="38862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19</xdr:row>
      <xdr:rowOff>0</xdr:rowOff>
    </xdr:from>
    <xdr:to>
      <xdr:col>29</xdr:col>
      <xdr:colOff>190500</xdr:colOff>
      <xdr:row>26</xdr:row>
      <xdr:rowOff>180975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3619500"/>
          <a:ext cx="2667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16</xdr:col>
      <xdr:colOff>171450</xdr:colOff>
      <xdr:row>27</xdr:row>
      <xdr:rowOff>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2095500"/>
          <a:ext cx="38862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19</xdr:row>
      <xdr:rowOff>0</xdr:rowOff>
    </xdr:from>
    <xdr:to>
      <xdr:col>29</xdr:col>
      <xdr:colOff>190500</xdr:colOff>
      <xdr:row>26</xdr:row>
      <xdr:rowOff>180975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3619500"/>
          <a:ext cx="2667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16</xdr:col>
      <xdr:colOff>171450</xdr:colOff>
      <xdr:row>27</xdr:row>
      <xdr:rowOff>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2095500"/>
          <a:ext cx="38862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19</xdr:row>
      <xdr:rowOff>0</xdr:rowOff>
    </xdr:from>
    <xdr:to>
      <xdr:col>29</xdr:col>
      <xdr:colOff>190500</xdr:colOff>
      <xdr:row>27</xdr:row>
      <xdr:rowOff>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3619500"/>
          <a:ext cx="2667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16</xdr:col>
      <xdr:colOff>171450</xdr:colOff>
      <xdr:row>27</xdr:row>
      <xdr:rowOff>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2095500"/>
          <a:ext cx="38862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19</xdr:row>
      <xdr:rowOff>0</xdr:rowOff>
    </xdr:from>
    <xdr:to>
      <xdr:col>29</xdr:col>
      <xdr:colOff>190500</xdr:colOff>
      <xdr:row>27</xdr:row>
      <xdr:rowOff>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3619500"/>
          <a:ext cx="2667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16</xdr:col>
      <xdr:colOff>171450</xdr:colOff>
      <xdr:row>27</xdr:row>
      <xdr:rowOff>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2095500"/>
          <a:ext cx="38862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19</xdr:row>
      <xdr:rowOff>0</xdr:rowOff>
    </xdr:from>
    <xdr:to>
      <xdr:col>29</xdr:col>
      <xdr:colOff>190500</xdr:colOff>
      <xdr:row>27</xdr:row>
      <xdr:rowOff>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3619500"/>
          <a:ext cx="2667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16</xdr:col>
      <xdr:colOff>171450</xdr:colOff>
      <xdr:row>27</xdr:row>
      <xdr:rowOff>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2095500"/>
          <a:ext cx="38862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xel\oude%20exel\ijsboer%20systeem%20nieu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xel\oude%20exel\tikkels\brean\ijsboer%204.0\ijsboer%20systeem%20nieu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xel\ijsboer%20invoeren%20nieu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ek2"/>
      <sheetName val="scores"/>
      <sheetName val=" "/>
      <sheetName val="Grafiek1"/>
      <sheetName val="ijsboer systeem nieuw"/>
    </sheetNames>
    <sheetDataSet>
      <sheetData sheetId="2">
        <row r="10">
          <cell r="O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iek2"/>
      <sheetName val="scores"/>
      <sheetName val="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gi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uitkomst"/>
    </sheetNames>
    <sheetDataSet>
      <sheetData sheetId="1">
        <row r="9">
          <cell r="C9" t="str">
            <v>je heb 20 dagen om zoveel mogelijk geld te verdienen</v>
          </cell>
        </row>
      </sheetData>
      <sheetData sheetId="10">
        <row r="29">
          <cell r="E29">
            <v>20</v>
          </cell>
        </row>
        <row r="30">
          <cell r="N30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pane xSplit="30" ySplit="30" topLeftCell="AE31" activePane="bottomRight" state="frozen"/>
      <selection pane="topLeft" activeCell="A1" sqref="A1"/>
      <selection pane="topRight" activeCell="AE1" sqref="AE1"/>
      <selection pane="bottomLeft" activeCell="A31" sqref="A31"/>
      <selection pane="bottomRight" activeCell="A1" sqref="A1"/>
    </sheetView>
  </sheetViews>
  <sheetFormatPr defaultColWidth="0" defaultRowHeight="0" customHeight="1" zeroHeight="1"/>
  <cols>
    <col min="1" max="30" width="3.7109375" style="0" customWidth="1"/>
    <col min="31" max="31" width="0.13671875" style="0" customWidth="1"/>
    <col min="32" max="16384" width="3.7109375" style="0" hidden="1" customWidth="1"/>
  </cols>
  <sheetData>
    <row r="1" spans="1:31" ht="1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 thickBot="1">
      <c r="A2" s="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157" t="s">
        <v>0</v>
      </c>
      <c r="S2" s="158"/>
      <c r="T2" s="158"/>
      <c r="U2" s="159"/>
      <c r="V2" s="157" t="s">
        <v>1</v>
      </c>
      <c r="W2" s="158"/>
      <c r="X2" s="158"/>
      <c r="Y2" s="159"/>
      <c r="Z2" s="157" t="s">
        <v>2</v>
      </c>
      <c r="AA2" s="158"/>
      <c r="AB2" s="158"/>
      <c r="AC2" s="159"/>
      <c r="AD2" s="19"/>
      <c r="AE2" s="9"/>
    </row>
    <row r="3" spans="1:31" ht="15" customHeight="1" thickBot="1">
      <c r="A3" s="9"/>
      <c r="B3" s="5"/>
      <c r="C3" s="160" t="s">
        <v>3</v>
      </c>
      <c r="D3" s="161"/>
      <c r="E3" s="161"/>
      <c r="F3" s="162"/>
      <c r="G3" s="142" t="s">
        <v>4</v>
      </c>
      <c r="H3" s="163"/>
      <c r="I3" s="129" t="s">
        <v>5</v>
      </c>
      <c r="J3" s="132"/>
      <c r="K3" s="133"/>
      <c r="L3" s="4"/>
      <c r="M3" s="164">
        <v>25</v>
      </c>
      <c r="N3" s="165"/>
      <c r="O3" s="166"/>
      <c r="P3" s="7"/>
      <c r="Q3" s="19"/>
      <c r="R3" s="167"/>
      <c r="S3" s="168"/>
      <c r="T3" s="168"/>
      <c r="U3" s="168"/>
      <c r="V3" s="167"/>
      <c r="W3" s="168"/>
      <c r="X3" s="168"/>
      <c r="Y3" s="169"/>
      <c r="Z3" s="170"/>
      <c r="AA3" s="168"/>
      <c r="AB3" s="168"/>
      <c r="AC3" s="169"/>
      <c r="AD3" s="20"/>
      <c r="AE3" s="9"/>
    </row>
    <row r="4" spans="1:31" ht="15" customHeight="1" thickBot="1">
      <c r="A4" s="9"/>
      <c r="B4" s="5"/>
      <c r="C4" s="136" t="s">
        <v>6</v>
      </c>
      <c r="D4" s="137"/>
      <c r="E4" s="137"/>
      <c r="F4" s="137"/>
      <c r="G4" s="171">
        <v>1</v>
      </c>
      <c r="H4" s="172"/>
      <c r="I4" s="151"/>
      <c r="J4" s="151"/>
      <c r="K4" s="151"/>
      <c r="L4" s="4"/>
      <c r="M4" s="9"/>
      <c r="N4" s="9"/>
      <c r="O4" s="9"/>
      <c r="P4" s="10"/>
      <c r="Q4" s="19"/>
      <c r="R4" s="122"/>
      <c r="S4" s="120"/>
      <c r="T4" s="120"/>
      <c r="U4" s="120"/>
      <c r="V4" s="122"/>
      <c r="W4" s="120"/>
      <c r="X4" s="120"/>
      <c r="Y4" s="121"/>
      <c r="Z4" s="119"/>
      <c r="AA4" s="120"/>
      <c r="AB4" s="120"/>
      <c r="AC4" s="121"/>
      <c r="AD4" s="20"/>
      <c r="AE4" s="9"/>
    </row>
    <row r="5" spans="1:31" ht="15" customHeight="1" thickBot="1">
      <c r="A5" s="9"/>
      <c r="B5" s="5"/>
      <c r="C5" s="129" t="s">
        <v>7</v>
      </c>
      <c r="D5" s="132"/>
      <c r="E5" s="132"/>
      <c r="F5" s="132"/>
      <c r="G5" s="154"/>
      <c r="H5" s="155"/>
      <c r="I5" s="156"/>
      <c r="J5" s="156"/>
      <c r="K5" s="156"/>
      <c r="L5" s="19"/>
      <c r="M5" s="9"/>
      <c r="N5" s="9"/>
      <c r="O5" s="9"/>
      <c r="P5" s="10"/>
      <c r="Q5" s="11"/>
      <c r="R5" s="122"/>
      <c r="S5" s="120"/>
      <c r="T5" s="120"/>
      <c r="U5" s="120"/>
      <c r="V5" s="122"/>
      <c r="W5" s="120"/>
      <c r="X5" s="120"/>
      <c r="Y5" s="121"/>
      <c r="Z5" s="119"/>
      <c r="AA5" s="120"/>
      <c r="AB5" s="120"/>
      <c r="AC5" s="121"/>
      <c r="AD5" s="20"/>
      <c r="AE5" s="9"/>
    </row>
    <row r="6" spans="1:31" ht="15" customHeight="1" thickBot="1">
      <c r="A6" s="9"/>
      <c r="B6" s="5"/>
      <c r="C6" s="136" t="s">
        <v>8</v>
      </c>
      <c r="D6" s="137"/>
      <c r="E6" s="137"/>
      <c r="F6" s="137"/>
      <c r="G6" s="138"/>
      <c r="H6" s="139"/>
      <c r="I6" s="140" t="e">
        <f>#REF!</f>
        <v>#REF!</v>
      </c>
      <c r="J6" s="140"/>
      <c r="K6" s="141"/>
      <c r="L6" s="19"/>
      <c r="M6" s="142"/>
      <c r="N6" s="142"/>
      <c r="O6" s="142"/>
      <c r="P6" s="7"/>
      <c r="Q6" s="19"/>
      <c r="R6" s="122"/>
      <c r="S6" s="120"/>
      <c r="T6" s="120"/>
      <c r="U6" s="120"/>
      <c r="V6" s="122"/>
      <c r="W6" s="120"/>
      <c r="X6" s="120"/>
      <c r="Y6" s="121"/>
      <c r="Z6" s="119"/>
      <c r="AA6" s="120"/>
      <c r="AB6" s="120"/>
      <c r="AC6" s="121"/>
      <c r="AD6" s="20"/>
      <c r="AE6" s="9"/>
    </row>
    <row r="7" spans="1:31" ht="15" customHeight="1" thickBot="1">
      <c r="A7" s="9"/>
      <c r="B7" s="5"/>
      <c r="C7" s="147" t="s">
        <v>9</v>
      </c>
      <c r="D7" s="148"/>
      <c r="E7" s="148"/>
      <c r="F7" s="148"/>
      <c r="G7" s="149"/>
      <c r="H7" s="150"/>
      <c r="I7" s="151"/>
      <c r="J7" s="151"/>
      <c r="K7" s="151"/>
      <c r="L7" s="12"/>
      <c r="M7" s="142"/>
      <c r="N7" s="142"/>
      <c r="O7" s="142"/>
      <c r="P7" s="7"/>
      <c r="Q7" s="12"/>
      <c r="R7" s="122"/>
      <c r="S7" s="120"/>
      <c r="T7" s="120"/>
      <c r="U7" s="120"/>
      <c r="V7" s="122"/>
      <c r="W7" s="120"/>
      <c r="X7" s="120"/>
      <c r="Y7" s="121"/>
      <c r="Z7" s="152"/>
      <c r="AA7" s="153"/>
      <c r="AB7" s="134"/>
      <c r="AC7" s="135"/>
      <c r="AD7" s="21"/>
      <c r="AE7" s="9"/>
    </row>
    <row r="8" spans="1:31" ht="15" customHeight="1" thickBot="1">
      <c r="A8" s="9"/>
      <c r="B8" s="5"/>
      <c r="C8" s="136" t="s">
        <v>11</v>
      </c>
      <c r="D8" s="137"/>
      <c r="E8" s="137"/>
      <c r="F8" s="143"/>
      <c r="G8" s="144"/>
      <c r="H8" s="145"/>
      <c r="I8" s="146">
        <v>5</v>
      </c>
      <c r="J8" s="140"/>
      <c r="K8" s="141"/>
      <c r="L8" s="4"/>
      <c r="M8" s="142"/>
      <c r="N8" s="142"/>
      <c r="O8" s="142"/>
      <c r="P8" s="7"/>
      <c r="Q8" s="13"/>
      <c r="R8" s="122" t="s">
        <v>4</v>
      </c>
      <c r="S8" s="120"/>
      <c r="T8" s="120"/>
      <c r="U8" s="120"/>
      <c r="V8" s="122" t="s">
        <v>4</v>
      </c>
      <c r="W8" s="120"/>
      <c r="X8" s="120"/>
      <c r="Y8" s="121"/>
      <c r="Z8" s="119" t="s">
        <v>4</v>
      </c>
      <c r="AA8" s="120"/>
      <c r="AB8" s="120"/>
      <c r="AC8" s="121"/>
      <c r="AD8" s="20"/>
      <c r="AE8" s="9"/>
    </row>
    <row r="9" spans="1:31" ht="15" customHeight="1" thickBot="1">
      <c r="A9" s="9"/>
      <c r="B9" s="5"/>
      <c r="C9" s="129" t="s">
        <v>12</v>
      </c>
      <c r="D9" s="130"/>
      <c r="E9" s="130"/>
      <c r="F9" s="130"/>
      <c r="G9" s="131"/>
      <c r="H9" s="131"/>
      <c r="I9" s="130"/>
      <c r="J9" s="130"/>
      <c r="K9" s="130"/>
      <c r="L9" s="130"/>
      <c r="M9" s="132"/>
      <c r="N9" s="132"/>
      <c r="O9" s="133"/>
      <c r="P9" s="7"/>
      <c r="Q9" s="4"/>
      <c r="R9" s="122" t="s">
        <v>4</v>
      </c>
      <c r="S9" s="120"/>
      <c r="T9" s="120"/>
      <c r="U9" s="120"/>
      <c r="V9" s="122" t="s">
        <v>4</v>
      </c>
      <c r="W9" s="120"/>
      <c r="X9" s="120"/>
      <c r="Y9" s="121"/>
      <c r="Z9" s="119" t="s">
        <v>4</v>
      </c>
      <c r="AA9" s="120"/>
      <c r="AB9" s="120"/>
      <c r="AC9" s="121"/>
      <c r="AD9" s="20"/>
      <c r="AE9" s="9"/>
    </row>
    <row r="10" spans="1:31" ht="15" customHeight="1" thickBot="1">
      <c r="A10" s="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6"/>
      <c r="N10" s="6"/>
      <c r="O10" s="15"/>
      <c r="P10" s="16"/>
      <c r="Q10" s="4"/>
      <c r="R10" s="125" t="s">
        <v>4</v>
      </c>
      <c r="S10" s="126"/>
      <c r="T10" s="126"/>
      <c r="U10" s="126"/>
      <c r="V10" s="125" t="s">
        <v>4</v>
      </c>
      <c r="W10" s="126"/>
      <c r="X10" s="126"/>
      <c r="Y10" s="127"/>
      <c r="Z10" s="128" t="s">
        <v>4</v>
      </c>
      <c r="AA10" s="126"/>
      <c r="AB10" s="126"/>
      <c r="AC10" s="127"/>
      <c r="AD10" s="20"/>
      <c r="AE10" s="9"/>
    </row>
    <row r="11" spans="1:31" ht="15" customHeight="1" thickBo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" customHeight="1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12" t="s">
        <v>13</v>
      </c>
      <c r="S12" s="113"/>
      <c r="T12" s="113"/>
      <c r="U12" s="114"/>
      <c r="V12" s="112" t="s">
        <v>13</v>
      </c>
      <c r="W12" s="113"/>
      <c r="X12" s="113"/>
      <c r="Y12" s="114"/>
      <c r="Z12" s="118"/>
      <c r="AA12" s="118"/>
      <c r="AB12" s="118"/>
      <c r="AC12" s="118"/>
      <c r="AD12" s="17"/>
      <c r="AE12" s="9"/>
    </row>
    <row r="13" spans="1:3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15"/>
      <c r="S13" s="116"/>
      <c r="T13" s="116"/>
      <c r="U13" s="116"/>
      <c r="V13" s="115"/>
      <c r="W13" s="116"/>
      <c r="X13" s="116"/>
      <c r="Y13" s="117"/>
      <c r="Z13" s="118"/>
      <c r="AA13" s="118"/>
      <c r="AB13" s="118"/>
      <c r="AC13" s="118"/>
      <c r="AD13" s="17"/>
      <c r="AE13" s="9"/>
    </row>
    <row r="14" spans="1:31" ht="15" customHeight="1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23"/>
      <c r="S14" s="124"/>
      <c r="T14" s="124"/>
      <c r="U14" s="124"/>
      <c r="V14" s="109"/>
      <c r="W14" s="110"/>
      <c r="X14" s="110"/>
      <c r="Y14" s="111"/>
      <c r="Z14" s="9"/>
      <c r="AA14" s="9"/>
      <c r="AB14" s="9"/>
      <c r="AC14" s="9"/>
      <c r="AD14" s="9"/>
      <c r="AE14" s="9"/>
    </row>
    <row r="15" spans="1:31" ht="15" customHeight="1" thickBo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09"/>
      <c r="S15" s="110"/>
      <c r="T15" s="110"/>
      <c r="U15" s="111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" hidden="1">
      <c r="A29" s="9"/>
      <c r="B29" s="23"/>
      <c r="C29" s="18"/>
      <c r="D29" s="22"/>
      <c r="E29" s="22"/>
      <c r="F29" s="24"/>
      <c r="G29" s="22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" hidden="1">
      <c r="A30" s="9"/>
      <c r="B30" s="23"/>
      <c r="C30" s="18"/>
      <c r="D30" s="22"/>
      <c r="E30" s="22"/>
      <c r="F30" s="24"/>
      <c r="G30" s="22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0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</sheetData>
  <sheetProtection password="E72E" sheet="1" objects="1" scenarios="1" selectLockedCells="1" selectUnlockedCells="1"/>
  <mergeCells count="60">
    <mergeCell ref="Z2:AC2"/>
    <mergeCell ref="C3:F3"/>
    <mergeCell ref="G3:H3"/>
    <mergeCell ref="I3:K3"/>
    <mergeCell ref="M3:O3"/>
    <mergeCell ref="R3:U3"/>
    <mergeCell ref="V3:Y3"/>
    <mergeCell ref="Z3:AC3"/>
    <mergeCell ref="C5:F5"/>
    <mergeCell ref="G5:H5"/>
    <mergeCell ref="I5:K5"/>
    <mergeCell ref="R2:U2"/>
    <mergeCell ref="V2:Y2"/>
    <mergeCell ref="C4:F4"/>
    <mergeCell ref="G4:H4"/>
    <mergeCell ref="V7:Y7"/>
    <mergeCell ref="Z7:AA7"/>
    <mergeCell ref="I4:K4"/>
    <mergeCell ref="R4:U4"/>
    <mergeCell ref="V4:Y4"/>
    <mergeCell ref="R5:U5"/>
    <mergeCell ref="V5:Y5"/>
    <mergeCell ref="Z4:AC4"/>
    <mergeCell ref="C7:F7"/>
    <mergeCell ref="G7:H7"/>
    <mergeCell ref="I7:K7"/>
    <mergeCell ref="M7:O7"/>
    <mergeCell ref="R7:U7"/>
    <mergeCell ref="Z5:AC5"/>
    <mergeCell ref="C9:O9"/>
    <mergeCell ref="R9:U9"/>
    <mergeCell ref="AB7:AC7"/>
    <mergeCell ref="C6:F6"/>
    <mergeCell ref="G6:H6"/>
    <mergeCell ref="I6:K6"/>
    <mergeCell ref="M6:O6"/>
    <mergeCell ref="R6:U6"/>
    <mergeCell ref="V6:Y6"/>
    <mergeCell ref="C8:F8"/>
    <mergeCell ref="G8:H8"/>
    <mergeCell ref="I8:K8"/>
    <mergeCell ref="M8:O8"/>
    <mergeCell ref="R8:U8"/>
    <mergeCell ref="Z6:AC6"/>
    <mergeCell ref="Z13:AC13"/>
    <mergeCell ref="Z8:AC8"/>
    <mergeCell ref="V8:Y8"/>
    <mergeCell ref="R14:U14"/>
    <mergeCell ref="V14:Y14"/>
    <mergeCell ref="V9:Y9"/>
    <mergeCell ref="Z9:AC9"/>
    <mergeCell ref="R10:U10"/>
    <mergeCell ref="V10:Y10"/>
    <mergeCell ref="Z10:AC10"/>
    <mergeCell ref="Z12:AC12"/>
    <mergeCell ref="R15:U15"/>
    <mergeCell ref="R12:U12"/>
    <mergeCell ref="V12:Y12"/>
    <mergeCell ref="R13:U13"/>
    <mergeCell ref="V13:Y1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G5" sqref="G5:H5"/>
    </sheetView>
  </sheetViews>
  <sheetFormatPr defaultColWidth="0" defaultRowHeight="0" customHeight="1" zeroHeight="1"/>
  <cols>
    <col min="1" max="30" width="3.7109375" style="0" customWidth="1"/>
    <col min="31" max="31" width="0.13671875" style="0" customWidth="1"/>
    <col min="32" max="16384" width="3.7109375" style="0" hidden="1" customWidth="1"/>
  </cols>
  <sheetData>
    <row r="1" spans="1:31" ht="1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 thickBot="1">
      <c r="A2" s="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157" t="s">
        <v>0</v>
      </c>
      <c r="S2" s="158"/>
      <c r="T2" s="158"/>
      <c r="U2" s="159"/>
      <c r="V2" s="157" t="s">
        <v>1</v>
      </c>
      <c r="W2" s="158"/>
      <c r="X2" s="158"/>
      <c r="Y2" s="159"/>
      <c r="Z2" s="157" t="s">
        <v>2</v>
      </c>
      <c r="AA2" s="158"/>
      <c r="AB2" s="158"/>
      <c r="AC2" s="159"/>
      <c r="AD2" s="19"/>
      <c r="AE2" s="9"/>
    </row>
    <row r="3" spans="1:31" ht="15" customHeight="1" thickBot="1">
      <c r="A3" s="9"/>
      <c r="B3" s="5"/>
      <c r="C3" s="185"/>
      <c r="D3" s="185"/>
      <c r="E3" s="185"/>
      <c r="F3" s="185"/>
      <c r="G3" s="142" t="s">
        <v>4</v>
      </c>
      <c r="H3" s="163"/>
      <c r="I3" s="129" t="s">
        <v>5</v>
      </c>
      <c r="J3" s="132"/>
      <c r="K3" s="133"/>
      <c r="L3" s="4"/>
      <c r="M3" s="164">
        <f>IF('[1] '!$O$10=100,8!N30+100,IF('[1] '!$O$10=200,8!N30-200,8!N30))</f>
        <v>25</v>
      </c>
      <c r="N3" s="165"/>
      <c r="O3" s="166"/>
      <c r="P3" s="7"/>
      <c r="Q3" s="8"/>
      <c r="R3" s="167" t="str">
        <f>1!R3:U3</f>
        <v>vandaag is</v>
      </c>
      <c r="S3" s="168"/>
      <c r="T3" s="168"/>
      <c r="U3" s="168"/>
      <c r="V3" s="167" t="str">
        <f>1!V3:Y3</f>
        <v>er is geen</v>
      </c>
      <c r="W3" s="168"/>
      <c r="X3" s="168"/>
      <c r="Y3" s="169"/>
      <c r="Z3" s="170" t="str">
        <f>1!Z3:AC3</f>
        <v>de ijsprijs is</v>
      </c>
      <c r="AA3" s="168"/>
      <c r="AB3" s="168"/>
      <c r="AC3" s="169"/>
      <c r="AD3" s="20"/>
      <c r="AE3" s="9"/>
    </row>
    <row r="4" spans="1:31" ht="15" customHeight="1" thickBot="1">
      <c r="A4" s="9"/>
      <c r="B4" s="5"/>
      <c r="C4" s="136" t="s">
        <v>6</v>
      </c>
      <c r="D4" s="137"/>
      <c r="E4" s="137"/>
      <c r="F4" s="143"/>
      <c r="G4" s="174">
        <v>9</v>
      </c>
      <c r="H4" s="175"/>
      <c r="I4" s="151"/>
      <c r="J4" s="151"/>
      <c r="K4" s="151"/>
      <c r="L4" s="4"/>
      <c r="M4" s="9"/>
      <c r="N4" s="9"/>
      <c r="O4" s="9"/>
      <c r="P4" s="10"/>
      <c r="Q4" s="8"/>
      <c r="R4" s="122" t="str">
        <f>1!R4:U4</f>
        <v>het tamelijk</v>
      </c>
      <c r="S4" s="120"/>
      <c r="T4" s="120"/>
      <c r="U4" s="120"/>
      <c r="V4" s="122" t="str">
        <f>1!V4:Y4</f>
        <v>waarschuwing</v>
      </c>
      <c r="W4" s="120"/>
      <c r="X4" s="120"/>
      <c r="Y4" s="121"/>
      <c r="Z4" s="119" t="str">
        <f>1!Z4:AC4</f>
        <v>vandaag</v>
      </c>
      <c r="AA4" s="120"/>
      <c r="AB4" s="120"/>
      <c r="AC4" s="121"/>
      <c r="AD4" s="20"/>
      <c r="AE4" s="9"/>
    </row>
    <row r="5" spans="1:31" ht="15" customHeight="1" thickBot="1">
      <c r="A5" s="9"/>
      <c r="B5" s="5"/>
      <c r="C5" s="129" t="s">
        <v>7</v>
      </c>
      <c r="D5" s="132"/>
      <c r="E5" s="132"/>
      <c r="F5" s="132"/>
      <c r="G5" s="154">
        <v>0</v>
      </c>
      <c r="H5" s="155"/>
      <c r="I5" s="156"/>
      <c r="J5" s="156"/>
      <c r="K5" s="156"/>
      <c r="L5" s="8"/>
      <c r="M5" s="9"/>
      <c r="N5" s="9"/>
      <c r="O5" s="9"/>
      <c r="P5" s="10"/>
      <c r="Q5" s="11"/>
      <c r="R5" s="122" t="str">
        <f>1!R5:U5</f>
        <v>bewolkt</v>
      </c>
      <c r="S5" s="120"/>
      <c r="T5" s="120"/>
      <c r="U5" s="120"/>
      <c r="V5" s="122" t="str">
        <f>1!V5:Y5</f>
        <v>voor vandaag</v>
      </c>
      <c r="W5" s="120"/>
      <c r="X5" s="120"/>
      <c r="Y5" s="121"/>
      <c r="Z5" s="119" t="str">
        <f>1!Z5:AC5</f>
        <v>erg laag</v>
      </c>
      <c r="AA5" s="120"/>
      <c r="AB5" s="120"/>
      <c r="AC5" s="121"/>
      <c r="AD5" s="20"/>
      <c r="AE5" s="9"/>
    </row>
    <row r="6" spans="1:31" ht="15" customHeight="1" thickBot="1">
      <c r="A6" s="9"/>
      <c r="B6" s="5"/>
      <c r="C6" s="136" t="s">
        <v>8</v>
      </c>
      <c r="D6" s="137"/>
      <c r="E6" s="137"/>
      <c r="F6" s="137"/>
      <c r="G6" s="138">
        <v>0</v>
      </c>
      <c r="H6" s="139"/>
      <c r="I6" s="140">
        <f>1!I6</f>
        <v>0.39</v>
      </c>
      <c r="J6" s="140"/>
      <c r="K6" s="141"/>
      <c r="L6" s="8"/>
      <c r="M6" s="142"/>
      <c r="N6" s="142"/>
      <c r="O6" s="142"/>
      <c r="P6" s="7"/>
      <c r="Q6" s="8"/>
      <c r="R6" s="122" t="str">
        <f>1!R6:U6</f>
        <v>met windkracht</v>
      </c>
      <c r="S6" s="120"/>
      <c r="T6" s="120"/>
      <c r="U6" s="120"/>
      <c r="V6" s="122" t="str">
        <f>1!V6:Y6</f>
        <v>of morgen</v>
      </c>
      <c r="W6" s="120"/>
      <c r="X6" s="120"/>
      <c r="Y6" s="121"/>
      <c r="Z6" s="119" t="str">
        <f>1!Z6:AC6</f>
        <v>namelijk</v>
      </c>
      <c r="AA6" s="120"/>
      <c r="AB6" s="120"/>
      <c r="AC6" s="121"/>
      <c r="AD6" s="20"/>
      <c r="AE6" s="9"/>
    </row>
    <row r="7" spans="1:31" ht="15" customHeight="1" thickBot="1">
      <c r="A7" s="9"/>
      <c r="B7" s="5"/>
      <c r="C7" s="147" t="s">
        <v>9</v>
      </c>
      <c r="D7" s="148"/>
      <c r="E7" s="148"/>
      <c r="F7" s="148"/>
      <c r="G7" s="149">
        <v>0</v>
      </c>
      <c r="H7" s="150"/>
      <c r="I7" s="151"/>
      <c r="J7" s="151"/>
      <c r="K7" s="151"/>
      <c r="L7" s="12"/>
      <c r="M7" s="142"/>
      <c r="N7" s="142"/>
      <c r="O7" s="142"/>
      <c r="P7" s="7"/>
      <c r="Q7" s="12"/>
      <c r="R7" s="122">
        <f>1!R7:U7</f>
        <v>19</v>
      </c>
      <c r="S7" s="120"/>
      <c r="T7" s="120"/>
      <c r="U7" s="120"/>
      <c r="V7" s="122" t="str">
        <f>1!V7:Y7</f>
        <v>bekend</v>
      </c>
      <c r="W7" s="120"/>
      <c r="X7" s="120"/>
      <c r="Y7" s="121"/>
      <c r="Z7" s="177">
        <f>1!I6</f>
        <v>0.39</v>
      </c>
      <c r="AA7" s="177"/>
      <c r="AB7" s="134" t="s">
        <v>10</v>
      </c>
      <c r="AC7" s="135"/>
      <c r="AD7" s="21"/>
      <c r="AE7" s="9"/>
    </row>
    <row r="8" spans="1:31" ht="15" customHeight="1" thickBot="1">
      <c r="A8" s="9"/>
      <c r="B8" s="5"/>
      <c r="C8" s="136" t="s">
        <v>11</v>
      </c>
      <c r="D8" s="137"/>
      <c r="E8" s="137"/>
      <c r="F8" s="143"/>
      <c r="G8" s="144">
        <v>0</v>
      </c>
      <c r="H8" s="145"/>
      <c r="I8" s="146">
        <f>1!I8</f>
        <v>5</v>
      </c>
      <c r="J8" s="140"/>
      <c r="K8" s="141"/>
      <c r="L8" s="4"/>
      <c r="M8" s="142"/>
      <c r="N8" s="142"/>
      <c r="O8" s="142"/>
      <c r="P8" s="7"/>
      <c r="Q8" s="13"/>
      <c r="R8" s="122" t="str">
        <f>1!R8:U8</f>
        <v> </v>
      </c>
      <c r="S8" s="120"/>
      <c r="T8" s="120"/>
      <c r="U8" s="120"/>
      <c r="V8" s="122" t="str">
        <f>1!V8:Y8</f>
        <v> </v>
      </c>
      <c r="W8" s="120"/>
      <c r="X8" s="120"/>
      <c r="Y8" s="121"/>
      <c r="Z8" s="119" t="str">
        <f>1!Z8:AC8</f>
        <v>per stuk</v>
      </c>
      <c r="AA8" s="120"/>
      <c r="AB8" s="120"/>
      <c r="AC8" s="121"/>
      <c r="AD8" s="20"/>
      <c r="AE8" s="9"/>
    </row>
    <row r="9" spans="1:31" ht="15" customHeight="1" thickBot="1">
      <c r="A9" s="9"/>
      <c r="B9" s="5"/>
      <c r="C9" s="180" t="str">
        <f>' '!AX36</f>
        <v> </v>
      </c>
      <c r="D9" s="181"/>
      <c r="E9" s="181"/>
      <c r="F9" s="181"/>
      <c r="G9" s="182"/>
      <c r="H9" s="182"/>
      <c r="I9" s="181"/>
      <c r="J9" s="181"/>
      <c r="K9" s="181"/>
      <c r="L9" s="181"/>
      <c r="M9" s="183"/>
      <c r="N9" s="183"/>
      <c r="O9" s="184"/>
      <c r="P9" s="7"/>
      <c r="Q9" s="4"/>
      <c r="R9" s="122" t="str">
        <f>1!R9:U9</f>
        <v> </v>
      </c>
      <c r="S9" s="120"/>
      <c r="T9" s="120"/>
      <c r="U9" s="120"/>
      <c r="V9" s="122" t="str">
        <f>1!V9:Y9</f>
        <v> </v>
      </c>
      <c r="W9" s="120"/>
      <c r="X9" s="120"/>
      <c r="Y9" s="121"/>
      <c r="Z9" s="119" t="str">
        <f>1!Z9:AC9</f>
        <v> </v>
      </c>
      <c r="AA9" s="120"/>
      <c r="AB9" s="120"/>
      <c r="AC9" s="121"/>
      <c r="AD9" s="20"/>
      <c r="AE9" s="9"/>
    </row>
    <row r="10" spans="1:31" ht="15" customHeight="1" thickBot="1">
      <c r="A10" s="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6"/>
      <c r="N10" s="6"/>
      <c r="O10" s="15"/>
      <c r="P10" s="16"/>
      <c r="Q10" s="4"/>
      <c r="R10" s="125" t="str">
        <f>1!R10:U10</f>
        <v> </v>
      </c>
      <c r="S10" s="126"/>
      <c r="T10" s="126"/>
      <c r="U10" s="126"/>
      <c r="V10" s="125" t="str">
        <f>1!V10:Y10</f>
        <v> </v>
      </c>
      <c r="W10" s="126"/>
      <c r="X10" s="126"/>
      <c r="Y10" s="127"/>
      <c r="Z10" s="128" t="str">
        <f>1!Z10:AC10</f>
        <v> </v>
      </c>
      <c r="AA10" s="126"/>
      <c r="AB10" s="126"/>
      <c r="AC10" s="127"/>
      <c r="AD10" s="20"/>
      <c r="AE10" s="9"/>
    </row>
    <row r="11" spans="1:3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8"/>
      <c r="AA12" s="118"/>
      <c r="AB12" s="118"/>
      <c r="AC12" s="118"/>
      <c r="AD12" s="17"/>
      <c r="AE12" s="9"/>
    </row>
    <row r="13" spans="1:3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18"/>
      <c r="AA13" s="118"/>
      <c r="AB13" s="118"/>
      <c r="AC13" s="118"/>
      <c r="AD13" s="17"/>
      <c r="AE13" s="9"/>
    </row>
    <row r="14" spans="1:31" ht="15" customHeight="1">
      <c r="A14" s="9"/>
      <c r="B14" s="9"/>
      <c r="C14" s="25"/>
      <c r="D14" s="25"/>
      <c r="E14" s="25"/>
      <c r="F14" s="25"/>
      <c r="G14" s="25"/>
      <c r="H14" s="25"/>
      <c r="I14" s="25"/>
      <c r="J14" s="2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5" customHeight="1">
      <c r="A15" s="9"/>
      <c r="B15" s="9"/>
      <c r="C15" s="25"/>
      <c r="D15" s="25"/>
      <c r="E15" s="25"/>
      <c r="F15" s="25"/>
      <c r="G15" s="25"/>
      <c r="H15" s="25"/>
      <c r="I15" s="25"/>
      <c r="J15" s="2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>
      <c r="A16" s="9"/>
      <c r="B16" s="9"/>
      <c r="C16" s="25"/>
      <c r="D16" s="25"/>
      <c r="E16" s="25"/>
      <c r="F16" s="25"/>
      <c r="G16" s="25"/>
      <c r="H16" s="25"/>
      <c r="I16" s="25"/>
      <c r="J16" s="2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>
      <c r="A17" s="9"/>
      <c r="B17" s="9"/>
      <c r="C17" s="25"/>
      <c r="D17" s="25"/>
      <c r="E17" s="25"/>
      <c r="F17" s="25"/>
      <c r="G17" s="25"/>
      <c r="H17" s="25"/>
      <c r="I17" s="25"/>
      <c r="J17" s="2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>
      <c r="A18" s="9"/>
      <c r="B18" s="9"/>
      <c r="C18" s="25"/>
      <c r="D18" s="25"/>
      <c r="E18" s="25"/>
      <c r="F18" s="25"/>
      <c r="G18" s="25"/>
      <c r="H18" s="25"/>
      <c r="I18" s="25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>
      <c r="A19" s="9"/>
      <c r="B19" s="9"/>
      <c r="C19" s="25"/>
      <c r="D19" s="25"/>
      <c r="E19" s="25"/>
      <c r="F19" s="25"/>
      <c r="G19" s="25"/>
      <c r="H19" s="25"/>
      <c r="I19" s="25"/>
      <c r="J19" s="2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 customHeight="1">
      <c r="A20" s="9"/>
      <c r="B20" s="9"/>
      <c r="C20" s="25"/>
      <c r="D20" s="25"/>
      <c r="E20" s="25"/>
      <c r="F20" s="25"/>
      <c r="G20" s="25"/>
      <c r="H20" s="25"/>
      <c r="I20" s="25"/>
      <c r="J20" s="2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 customHeight="1">
      <c r="A21" s="9"/>
      <c r="B21" s="9"/>
      <c r="C21" s="25"/>
      <c r="D21" s="25"/>
      <c r="E21" s="25"/>
      <c r="F21" s="25"/>
      <c r="G21" s="25"/>
      <c r="H21" s="25"/>
      <c r="I21" s="25"/>
      <c r="J21" s="2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" customHeight="1">
      <c r="A22" s="9"/>
      <c r="B22" s="9"/>
      <c r="C22" s="25"/>
      <c r="D22" s="25"/>
      <c r="E22" s="25"/>
      <c r="F22" s="25"/>
      <c r="G22" s="25"/>
      <c r="H22" s="25"/>
      <c r="I22" s="25"/>
      <c r="J22" s="2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>
      <c r="A23" s="9"/>
      <c r="B23" s="9"/>
      <c r="C23" s="25"/>
      <c r="D23" s="25"/>
      <c r="E23" s="25"/>
      <c r="F23" s="25"/>
      <c r="G23" s="25"/>
      <c r="H23" s="25"/>
      <c r="I23" s="25"/>
      <c r="J23" s="2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>
      <c r="A24" s="9"/>
      <c r="B24" s="9"/>
      <c r="C24" s="25"/>
      <c r="D24" s="25"/>
      <c r="E24" s="25"/>
      <c r="F24" s="25"/>
      <c r="G24" s="25"/>
      <c r="H24" s="25"/>
      <c r="I24" s="25"/>
      <c r="J24" s="2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>
      <c r="A25" s="9"/>
      <c r="B25" s="9"/>
      <c r="C25" s="25"/>
      <c r="D25" s="25"/>
      <c r="E25" s="25"/>
      <c r="F25" s="25"/>
      <c r="G25" s="25"/>
      <c r="H25" s="25"/>
      <c r="I25" s="25"/>
      <c r="J25" s="2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 customHeight="1">
      <c r="A26" s="9"/>
      <c r="B26" s="9"/>
      <c r="C26" s="25"/>
      <c r="D26" s="25"/>
      <c r="E26" s="25"/>
      <c r="F26" s="25"/>
      <c r="G26" s="25"/>
      <c r="H26" s="25"/>
      <c r="I26" s="25"/>
      <c r="J26" s="2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customHeight="1">
      <c r="A27" s="9"/>
      <c r="B27" s="9"/>
      <c r="C27" s="25"/>
      <c r="D27" s="25"/>
      <c r="E27" s="25"/>
      <c r="F27" s="25"/>
      <c r="G27" s="25"/>
      <c r="H27" s="25"/>
      <c r="I27" s="25"/>
      <c r="J27" s="2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customHeight="1" hidden="1">
      <c r="A28" s="9"/>
      <c r="B28" s="9"/>
      <c r="C28" s="26"/>
      <c r="D28" s="26" t="s">
        <v>25</v>
      </c>
      <c r="E28" s="26" t="s">
        <v>8</v>
      </c>
      <c r="F28" s="26" t="s">
        <v>9</v>
      </c>
      <c r="G28" s="46" t="s">
        <v>11</v>
      </c>
      <c r="H28" s="26" t="s">
        <v>4</v>
      </c>
      <c r="I28" s="25"/>
      <c r="J28" s="25"/>
      <c r="K28" s="43" t="s">
        <v>20</v>
      </c>
      <c r="L28" s="43" t="s">
        <v>21</v>
      </c>
      <c r="M28" s="43" t="s">
        <v>19</v>
      </c>
      <c r="N28" s="43" t="s">
        <v>22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" customHeight="1" hidden="1">
      <c r="A29" s="9"/>
      <c r="B29" s="23">
        <f>IF(G5=0,8!B29,G4)</f>
        <v>1</v>
      </c>
      <c r="C29" s="18"/>
      <c r="D29" s="22">
        <f>IF(G5=0,8!D29,G5)</f>
        <v>0</v>
      </c>
      <c r="E29" s="22">
        <f>IF(G6=0,8!E29,G6)</f>
        <v>0</v>
      </c>
      <c r="F29" s="24">
        <f>IF(G7=0,8!F29,G7)</f>
        <v>0</v>
      </c>
      <c r="G29" s="22">
        <f>IF(G8=0,8!G29,G8)</f>
        <v>0</v>
      </c>
      <c r="H29" s="9"/>
      <c r="I29" s="9"/>
      <c r="J29" s="9"/>
      <c r="K29" s="9">
        <v>809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" customHeight="1" hidden="1">
      <c r="A30" s="9"/>
      <c r="B30" s="23">
        <f>IF(G5&gt;0,G4,8!B30)</f>
        <v>1</v>
      </c>
      <c r="C30" s="9"/>
      <c r="D30" s="9"/>
      <c r="E30" s="9"/>
      <c r="F30" s="9"/>
      <c r="G30" s="9"/>
      <c r="H30" s="9"/>
      <c r="I30" s="9"/>
      <c r="J30" s="9"/>
      <c r="K30" s="42">
        <f>IF(G6&lt;K29,G6,((G6/100)*(90+plus)))</f>
        <v>0</v>
      </c>
      <c r="L30" s="18">
        <f>Z7+0.6</f>
        <v>0.99</v>
      </c>
      <c r="M30" s="9">
        <f>IF(G7&gt;L30,(L30-(G7/100)*90),G7)</f>
        <v>0</v>
      </c>
      <c r="N30" s="9">
        <f>((M30*K30)+8!N30-(G8*I8))+' '!BA37</f>
        <v>25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.5" customHeight="1">
      <c r="A31" s="9"/>
      <c r="B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</sheetData>
  <sheetProtection password="E72E" sheet="1" objects="1" scenarios="1" selectLockedCells="1"/>
  <mergeCells count="53">
    <mergeCell ref="Z12:AC12"/>
    <mergeCell ref="Z13:AC13"/>
    <mergeCell ref="Z8:AC8"/>
    <mergeCell ref="R9:U9"/>
    <mergeCell ref="V9:Y9"/>
    <mergeCell ref="Z9:AC9"/>
    <mergeCell ref="R10:U10"/>
    <mergeCell ref="V10:Y10"/>
    <mergeCell ref="Z10:AC10"/>
    <mergeCell ref="V8:Y8"/>
    <mergeCell ref="C8:F8"/>
    <mergeCell ref="G8:H8"/>
    <mergeCell ref="I8:K8"/>
    <mergeCell ref="M8:O8"/>
    <mergeCell ref="R8:U8"/>
    <mergeCell ref="AB7:AC7"/>
    <mergeCell ref="C6:F6"/>
    <mergeCell ref="G6:H6"/>
    <mergeCell ref="I6:K6"/>
    <mergeCell ref="M6:O6"/>
    <mergeCell ref="R6:U6"/>
    <mergeCell ref="V6:Y6"/>
    <mergeCell ref="Z6:AC6"/>
    <mergeCell ref="C7:F7"/>
    <mergeCell ref="G7:H7"/>
    <mergeCell ref="I7:K7"/>
    <mergeCell ref="M7:O7"/>
    <mergeCell ref="C9:O9"/>
    <mergeCell ref="R2:U2"/>
    <mergeCell ref="V2:Y2"/>
    <mergeCell ref="Z2:AC2"/>
    <mergeCell ref="C3:F3"/>
    <mergeCell ref="G3:H3"/>
    <mergeCell ref="I3:K3"/>
    <mergeCell ref="M3:O3"/>
    <mergeCell ref="R3:U3"/>
    <mergeCell ref="V3:Y3"/>
    <mergeCell ref="I5:K5"/>
    <mergeCell ref="R5:U5"/>
    <mergeCell ref="V5:Y5"/>
    <mergeCell ref="R7:U7"/>
    <mergeCell ref="V7:Y7"/>
    <mergeCell ref="Z7:AA7"/>
    <mergeCell ref="Z3:AC3"/>
    <mergeCell ref="Z5:AC5"/>
    <mergeCell ref="C4:F4"/>
    <mergeCell ref="G4:H4"/>
    <mergeCell ref="I4:K4"/>
    <mergeCell ref="R4:U4"/>
    <mergeCell ref="V4:Y4"/>
    <mergeCell ref="Z4:AC4"/>
    <mergeCell ref="C5:F5"/>
    <mergeCell ref="G5:H5"/>
  </mergeCells>
  <conditionalFormatting sqref="C9:O9">
    <cfRule type="cellIs" priority="1" dxfId="20" operator="equal">
      <formula>" "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G5" sqref="G5:H5"/>
    </sheetView>
  </sheetViews>
  <sheetFormatPr defaultColWidth="0" defaultRowHeight="0" customHeight="1" zeroHeight="1"/>
  <cols>
    <col min="1" max="30" width="3.7109375" style="0" customWidth="1"/>
    <col min="31" max="31" width="0.13671875" style="0" customWidth="1"/>
    <col min="32" max="16384" width="3.7109375" style="0" hidden="1" customWidth="1"/>
  </cols>
  <sheetData>
    <row r="1" spans="1:31" ht="1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 thickBot="1">
      <c r="A2" s="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157" t="s">
        <v>0</v>
      </c>
      <c r="S2" s="158"/>
      <c r="T2" s="158"/>
      <c r="U2" s="159"/>
      <c r="V2" s="157" t="s">
        <v>1</v>
      </c>
      <c r="W2" s="158"/>
      <c r="X2" s="158"/>
      <c r="Y2" s="159"/>
      <c r="Z2" s="157" t="s">
        <v>2</v>
      </c>
      <c r="AA2" s="158"/>
      <c r="AB2" s="158"/>
      <c r="AC2" s="159"/>
      <c r="AD2" s="19"/>
      <c r="AE2" s="9"/>
    </row>
    <row r="3" spans="1:31" ht="15" customHeight="1" thickBot="1">
      <c r="A3" s="9"/>
      <c r="B3" s="5"/>
      <c r="C3" s="185"/>
      <c r="D3" s="185"/>
      <c r="E3" s="185"/>
      <c r="F3" s="185"/>
      <c r="G3" s="142" t="s">
        <v>4</v>
      </c>
      <c r="H3" s="163"/>
      <c r="I3" s="129" t="s">
        <v>5</v>
      </c>
      <c r="J3" s="132"/>
      <c r="K3" s="133"/>
      <c r="L3" s="4"/>
      <c r="M3" s="164">
        <f>IF('[1] '!$O$10=100,9!N30+100,IF('[1] '!$O$10=200,9!N30-200,9!N30))</f>
        <v>25</v>
      </c>
      <c r="N3" s="165"/>
      <c r="O3" s="166"/>
      <c r="P3" s="7"/>
      <c r="Q3" s="8"/>
      <c r="R3" s="167" t="str">
        <f>1!R3:U3</f>
        <v>vandaag is</v>
      </c>
      <c r="S3" s="168"/>
      <c r="T3" s="168"/>
      <c r="U3" s="168"/>
      <c r="V3" s="167" t="str">
        <f>1!V3:Y3</f>
        <v>er is geen</v>
      </c>
      <c r="W3" s="168"/>
      <c r="X3" s="168"/>
      <c r="Y3" s="169"/>
      <c r="Z3" s="170" t="str">
        <f>1!Z3:AC3</f>
        <v>de ijsprijs is</v>
      </c>
      <c r="AA3" s="168"/>
      <c r="AB3" s="168"/>
      <c r="AC3" s="169"/>
      <c r="AD3" s="20"/>
      <c r="AE3" s="9"/>
    </row>
    <row r="4" spans="1:31" ht="15" customHeight="1" thickBot="1">
      <c r="A4" s="9"/>
      <c r="B4" s="5"/>
      <c r="C4" s="136" t="s">
        <v>6</v>
      </c>
      <c r="D4" s="137"/>
      <c r="E4" s="137"/>
      <c r="F4" s="143"/>
      <c r="G4" s="174">
        <v>10</v>
      </c>
      <c r="H4" s="175"/>
      <c r="I4" s="151"/>
      <c r="J4" s="151"/>
      <c r="K4" s="151"/>
      <c r="L4" s="4"/>
      <c r="M4" s="9"/>
      <c r="N4" s="9"/>
      <c r="O4" s="9"/>
      <c r="P4" s="10"/>
      <c r="Q4" s="8"/>
      <c r="R4" s="122" t="str">
        <f>1!R4:U4</f>
        <v>het tamelijk</v>
      </c>
      <c r="S4" s="120"/>
      <c r="T4" s="120"/>
      <c r="U4" s="120"/>
      <c r="V4" s="122" t="str">
        <f>1!V4:Y4</f>
        <v>waarschuwing</v>
      </c>
      <c r="W4" s="120"/>
      <c r="X4" s="120"/>
      <c r="Y4" s="121"/>
      <c r="Z4" s="119" t="str">
        <f>1!Z4:AC4</f>
        <v>vandaag</v>
      </c>
      <c r="AA4" s="120"/>
      <c r="AB4" s="120"/>
      <c r="AC4" s="121"/>
      <c r="AD4" s="20"/>
      <c r="AE4" s="9"/>
    </row>
    <row r="5" spans="1:31" ht="15" customHeight="1" thickBot="1">
      <c r="A5" s="9"/>
      <c r="B5" s="5"/>
      <c r="C5" s="129" t="s">
        <v>7</v>
      </c>
      <c r="D5" s="132"/>
      <c r="E5" s="132"/>
      <c r="F5" s="132"/>
      <c r="G5" s="154">
        <v>0</v>
      </c>
      <c r="H5" s="155"/>
      <c r="I5" s="156"/>
      <c r="J5" s="156"/>
      <c r="K5" s="156"/>
      <c r="L5" s="8"/>
      <c r="M5" s="9"/>
      <c r="N5" s="9"/>
      <c r="O5" s="9"/>
      <c r="P5" s="10"/>
      <c r="Q5" s="11"/>
      <c r="R5" s="122" t="str">
        <f>1!R5:U5</f>
        <v>bewolkt</v>
      </c>
      <c r="S5" s="120"/>
      <c r="T5" s="120"/>
      <c r="U5" s="120"/>
      <c r="V5" s="122" t="str">
        <f>1!V5:Y5</f>
        <v>voor vandaag</v>
      </c>
      <c r="W5" s="120"/>
      <c r="X5" s="120"/>
      <c r="Y5" s="121"/>
      <c r="Z5" s="119" t="str">
        <f>1!Z5:AC5</f>
        <v>erg laag</v>
      </c>
      <c r="AA5" s="120"/>
      <c r="AB5" s="120"/>
      <c r="AC5" s="121"/>
      <c r="AD5" s="20"/>
      <c r="AE5" s="9"/>
    </row>
    <row r="6" spans="1:31" ht="15" customHeight="1" thickBot="1">
      <c r="A6" s="9"/>
      <c r="B6" s="5"/>
      <c r="C6" s="136" t="s">
        <v>8</v>
      </c>
      <c r="D6" s="137"/>
      <c r="E6" s="137"/>
      <c r="F6" s="137"/>
      <c r="G6" s="138">
        <v>0</v>
      </c>
      <c r="H6" s="139"/>
      <c r="I6" s="140">
        <f>1!I6</f>
        <v>0.39</v>
      </c>
      <c r="J6" s="140"/>
      <c r="K6" s="141"/>
      <c r="L6" s="8"/>
      <c r="M6" s="142"/>
      <c r="N6" s="142"/>
      <c r="O6" s="142"/>
      <c r="P6" s="7"/>
      <c r="Q6" s="8"/>
      <c r="R6" s="122" t="str">
        <f>1!R6:U6</f>
        <v>met windkracht</v>
      </c>
      <c r="S6" s="120"/>
      <c r="T6" s="120"/>
      <c r="U6" s="120"/>
      <c r="V6" s="122" t="str">
        <f>1!V6:Y6</f>
        <v>of morgen</v>
      </c>
      <c r="W6" s="120"/>
      <c r="X6" s="120"/>
      <c r="Y6" s="121"/>
      <c r="Z6" s="119" t="str">
        <f>1!Z6:AC6</f>
        <v>namelijk</v>
      </c>
      <c r="AA6" s="120"/>
      <c r="AB6" s="120"/>
      <c r="AC6" s="121"/>
      <c r="AD6" s="20"/>
      <c r="AE6" s="9"/>
    </row>
    <row r="7" spans="1:31" ht="15" customHeight="1" thickBot="1">
      <c r="A7" s="9"/>
      <c r="B7" s="5"/>
      <c r="C7" s="147" t="s">
        <v>9</v>
      </c>
      <c r="D7" s="148"/>
      <c r="E7" s="148"/>
      <c r="F7" s="148"/>
      <c r="G7" s="149">
        <v>0</v>
      </c>
      <c r="H7" s="150"/>
      <c r="I7" s="151"/>
      <c r="J7" s="151"/>
      <c r="K7" s="151"/>
      <c r="L7" s="12"/>
      <c r="M7" s="142"/>
      <c r="N7" s="142"/>
      <c r="O7" s="142"/>
      <c r="P7" s="7"/>
      <c r="Q7" s="12"/>
      <c r="R7" s="122">
        <f>1!R7:U7</f>
        <v>19</v>
      </c>
      <c r="S7" s="120"/>
      <c r="T7" s="120"/>
      <c r="U7" s="120"/>
      <c r="V7" s="122" t="str">
        <f>1!V7:Y7</f>
        <v>bekend</v>
      </c>
      <c r="W7" s="120"/>
      <c r="X7" s="120"/>
      <c r="Y7" s="121"/>
      <c r="Z7" s="177">
        <f>1!I6</f>
        <v>0.39</v>
      </c>
      <c r="AA7" s="177"/>
      <c r="AB7" s="134" t="s">
        <v>10</v>
      </c>
      <c r="AC7" s="135"/>
      <c r="AD7" s="21"/>
      <c r="AE7" s="9"/>
    </row>
    <row r="8" spans="1:31" ht="15" customHeight="1" thickBot="1">
      <c r="A8" s="9"/>
      <c r="B8" s="5"/>
      <c r="C8" s="136" t="s">
        <v>11</v>
      </c>
      <c r="D8" s="137"/>
      <c r="E8" s="137"/>
      <c r="F8" s="143"/>
      <c r="G8" s="144">
        <v>0</v>
      </c>
      <c r="H8" s="145"/>
      <c r="I8" s="146">
        <f>1!I8</f>
        <v>5</v>
      </c>
      <c r="J8" s="140"/>
      <c r="K8" s="141"/>
      <c r="L8" s="4"/>
      <c r="M8" s="142"/>
      <c r="N8" s="142"/>
      <c r="O8" s="142"/>
      <c r="P8" s="7"/>
      <c r="Q8" s="13"/>
      <c r="R8" s="122" t="str">
        <f>1!R8:U8</f>
        <v> </v>
      </c>
      <c r="S8" s="120"/>
      <c r="T8" s="120"/>
      <c r="U8" s="120"/>
      <c r="V8" s="122" t="str">
        <f>1!V8:Y8</f>
        <v> </v>
      </c>
      <c r="W8" s="120"/>
      <c r="X8" s="120"/>
      <c r="Y8" s="121"/>
      <c r="Z8" s="119" t="str">
        <f>1!Z8:AC8</f>
        <v>per stuk</v>
      </c>
      <c r="AA8" s="120"/>
      <c r="AB8" s="120"/>
      <c r="AC8" s="121"/>
      <c r="AD8" s="20"/>
      <c r="AE8" s="9"/>
    </row>
    <row r="9" spans="1:31" ht="15" customHeight="1" thickBot="1">
      <c r="A9" s="9"/>
      <c r="B9" s="5"/>
      <c r="C9" s="180" t="str">
        <f>' '!AX37</f>
        <v> </v>
      </c>
      <c r="D9" s="181"/>
      <c r="E9" s="181"/>
      <c r="F9" s="181"/>
      <c r="G9" s="182"/>
      <c r="H9" s="182"/>
      <c r="I9" s="181"/>
      <c r="J9" s="181"/>
      <c r="K9" s="181"/>
      <c r="L9" s="181"/>
      <c r="M9" s="183"/>
      <c r="N9" s="183"/>
      <c r="O9" s="184"/>
      <c r="P9" s="7"/>
      <c r="Q9" s="4"/>
      <c r="R9" s="122" t="str">
        <f>1!R9:U9</f>
        <v> </v>
      </c>
      <c r="S9" s="120"/>
      <c r="T9" s="120"/>
      <c r="U9" s="120"/>
      <c r="V9" s="122" t="str">
        <f>1!V9:Y9</f>
        <v> </v>
      </c>
      <c r="W9" s="120"/>
      <c r="X9" s="120"/>
      <c r="Y9" s="121"/>
      <c r="Z9" s="119" t="str">
        <f>1!Z9:AC9</f>
        <v> </v>
      </c>
      <c r="AA9" s="120"/>
      <c r="AB9" s="120"/>
      <c r="AC9" s="121"/>
      <c r="AD9" s="20"/>
      <c r="AE9" s="9"/>
    </row>
    <row r="10" spans="1:31" ht="15" customHeight="1" thickBot="1">
      <c r="A10" s="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6"/>
      <c r="N10" s="6"/>
      <c r="O10" s="15"/>
      <c r="P10" s="16"/>
      <c r="Q10" s="4"/>
      <c r="R10" s="125" t="str">
        <f>1!R10:U10</f>
        <v> </v>
      </c>
      <c r="S10" s="126"/>
      <c r="T10" s="126"/>
      <c r="U10" s="126"/>
      <c r="V10" s="125" t="str">
        <f>1!V10:Y10</f>
        <v> </v>
      </c>
      <c r="W10" s="126"/>
      <c r="X10" s="126"/>
      <c r="Y10" s="127"/>
      <c r="Z10" s="128" t="str">
        <f>1!Z10:AC10</f>
        <v> </v>
      </c>
      <c r="AA10" s="126"/>
      <c r="AB10" s="126"/>
      <c r="AC10" s="127"/>
      <c r="AD10" s="20"/>
      <c r="AE10" s="9"/>
    </row>
    <row r="11" spans="1:3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8"/>
      <c r="AA12" s="118"/>
      <c r="AB12" s="118"/>
      <c r="AC12" s="118"/>
      <c r="AD12" s="17"/>
      <c r="AE12" s="9"/>
    </row>
    <row r="13" spans="1:3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18"/>
      <c r="AA13" s="118"/>
      <c r="AB13" s="118"/>
      <c r="AC13" s="118"/>
      <c r="AD13" s="17"/>
      <c r="AE13" s="9"/>
    </row>
    <row r="14" spans="1:31" ht="15" customHeight="1">
      <c r="A14" s="9"/>
      <c r="B14" s="9"/>
      <c r="C14" s="25"/>
      <c r="D14" s="25"/>
      <c r="E14" s="25"/>
      <c r="F14" s="25"/>
      <c r="G14" s="25"/>
      <c r="H14" s="25"/>
      <c r="I14" s="25"/>
      <c r="J14" s="2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5" customHeight="1">
      <c r="A15" s="9"/>
      <c r="B15" s="9"/>
      <c r="C15" s="25"/>
      <c r="D15" s="25"/>
      <c r="E15" s="25"/>
      <c r="F15" s="25"/>
      <c r="G15" s="25"/>
      <c r="H15" s="25"/>
      <c r="I15" s="25"/>
      <c r="J15" s="2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>
      <c r="A16" s="9"/>
      <c r="B16" s="9"/>
      <c r="C16" s="25"/>
      <c r="D16" s="25"/>
      <c r="E16" s="25"/>
      <c r="F16" s="25"/>
      <c r="G16" s="25"/>
      <c r="H16" s="25"/>
      <c r="I16" s="25"/>
      <c r="J16" s="2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>
      <c r="A17" s="9"/>
      <c r="B17" s="9"/>
      <c r="C17" s="25"/>
      <c r="D17" s="25"/>
      <c r="E17" s="25"/>
      <c r="F17" s="25"/>
      <c r="G17" s="25"/>
      <c r="H17" s="25"/>
      <c r="I17" s="25"/>
      <c r="J17" s="2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>
      <c r="A18" s="9"/>
      <c r="B18" s="9"/>
      <c r="C18" s="25"/>
      <c r="D18" s="25"/>
      <c r="E18" s="25"/>
      <c r="F18" s="25"/>
      <c r="G18" s="25"/>
      <c r="H18" s="25"/>
      <c r="I18" s="25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>
      <c r="A19" s="9"/>
      <c r="B19" s="9"/>
      <c r="C19" s="25"/>
      <c r="D19" s="25"/>
      <c r="E19" s="25"/>
      <c r="F19" s="25"/>
      <c r="G19" s="25"/>
      <c r="H19" s="25"/>
      <c r="I19" s="25"/>
      <c r="J19" s="2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 customHeight="1">
      <c r="A20" s="9"/>
      <c r="B20" s="9"/>
      <c r="C20" s="25"/>
      <c r="D20" s="25"/>
      <c r="E20" s="25"/>
      <c r="F20" s="25"/>
      <c r="G20" s="25"/>
      <c r="H20" s="25"/>
      <c r="I20" s="25"/>
      <c r="J20" s="2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 customHeight="1">
      <c r="A21" s="9"/>
      <c r="B21" s="9"/>
      <c r="C21" s="25"/>
      <c r="D21" s="25"/>
      <c r="E21" s="25"/>
      <c r="F21" s="25"/>
      <c r="G21" s="25"/>
      <c r="H21" s="25"/>
      <c r="I21" s="25"/>
      <c r="J21" s="2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" customHeight="1">
      <c r="A22" s="9"/>
      <c r="B22" s="9"/>
      <c r="C22" s="25"/>
      <c r="D22" s="25"/>
      <c r="E22" s="25"/>
      <c r="F22" s="25"/>
      <c r="G22" s="25"/>
      <c r="H22" s="25"/>
      <c r="I22" s="25"/>
      <c r="J22" s="2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>
      <c r="A23" s="9"/>
      <c r="B23" s="9"/>
      <c r="C23" s="25"/>
      <c r="D23" s="25"/>
      <c r="E23" s="25"/>
      <c r="F23" s="25"/>
      <c r="G23" s="25"/>
      <c r="H23" s="25"/>
      <c r="I23" s="25"/>
      <c r="J23" s="2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>
      <c r="A24" s="9"/>
      <c r="B24" s="9"/>
      <c r="C24" s="25"/>
      <c r="D24" s="25"/>
      <c r="E24" s="25"/>
      <c r="F24" s="25"/>
      <c r="G24" s="25"/>
      <c r="H24" s="25"/>
      <c r="I24" s="25"/>
      <c r="J24" s="2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>
      <c r="A25" s="9"/>
      <c r="B25" s="9"/>
      <c r="C25" s="25"/>
      <c r="D25" s="25"/>
      <c r="E25" s="25"/>
      <c r="F25" s="25"/>
      <c r="G25" s="25"/>
      <c r="H25" s="25"/>
      <c r="I25" s="25"/>
      <c r="J25" s="2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 customHeight="1">
      <c r="A26" s="9"/>
      <c r="B26" s="9"/>
      <c r="C26" s="25"/>
      <c r="D26" s="25"/>
      <c r="E26" s="25"/>
      <c r="F26" s="25"/>
      <c r="G26" s="25"/>
      <c r="H26" s="25"/>
      <c r="I26" s="25"/>
      <c r="J26" s="2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customHeight="1">
      <c r="A27" s="9"/>
      <c r="B27" s="9"/>
      <c r="C27" s="25"/>
      <c r="D27" s="25"/>
      <c r="E27" s="25"/>
      <c r="F27" s="25"/>
      <c r="G27" s="25"/>
      <c r="H27" s="25"/>
      <c r="I27" s="25"/>
      <c r="J27" s="2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customHeight="1" hidden="1">
      <c r="A28" s="9"/>
      <c r="B28" s="9" t="s">
        <v>47</v>
      </c>
      <c r="C28" s="26"/>
      <c r="D28" s="26" t="s">
        <v>25</v>
      </c>
      <c r="E28" s="26" t="s">
        <v>8</v>
      </c>
      <c r="F28" s="26" t="s">
        <v>9</v>
      </c>
      <c r="G28" s="46" t="s">
        <v>11</v>
      </c>
      <c r="H28" s="26" t="s">
        <v>4</v>
      </c>
      <c r="I28" s="25"/>
      <c r="J28" s="25"/>
      <c r="K28" s="43" t="s">
        <v>20</v>
      </c>
      <c r="L28" s="43" t="s">
        <v>21</v>
      </c>
      <c r="M28" s="43" t="s">
        <v>19</v>
      </c>
      <c r="N28" s="43" t="s">
        <v>22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" customHeight="1" hidden="1">
      <c r="A29" s="9"/>
      <c r="B29" s="23">
        <f>IF(G5=0,9!B29,G4)</f>
        <v>1</v>
      </c>
      <c r="C29" s="18"/>
      <c r="D29" s="22">
        <f>IF(G5=0,9!D29,G5)</f>
        <v>0</v>
      </c>
      <c r="E29" s="22">
        <f>IF(G6=0,9!E29,G6)</f>
        <v>0</v>
      </c>
      <c r="F29" s="24">
        <f>IF(G7=0,9!F29,G7)</f>
        <v>0</v>
      </c>
      <c r="G29" s="22">
        <f>IF(G8=0,9!G29,G8)</f>
        <v>0</v>
      </c>
      <c r="H29" s="9"/>
      <c r="I29" s="9"/>
      <c r="J29" s="9"/>
      <c r="K29" s="9">
        <v>910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" customHeight="1" hidden="1">
      <c r="A30" s="9"/>
      <c r="B30" s="23">
        <f>IF(G5&gt;0,G4,9!B30)</f>
        <v>1</v>
      </c>
      <c r="C30" s="9"/>
      <c r="D30" s="9"/>
      <c r="E30" s="9"/>
      <c r="F30" s="9"/>
      <c r="G30" s="9"/>
      <c r="H30" s="9"/>
      <c r="I30" s="9"/>
      <c r="J30" s="9"/>
      <c r="K30" s="42">
        <f>IF(G6&lt;K29,G6,((G6/100)*(90+plus)))</f>
        <v>0</v>
      </c>
      <c r="L30" s="18">
        <f>Z7+0.65</f>
        <v>1.04</v>
      </c>
      <c r="M30" s="9">
        <f>IF(G7&gt;L30,(L30-(G7/100)*90),G7)</f>
        <v>0</v>
      </c>
      <c r="N30" s="9">
        <f>((M30*K30)+9!N30-(G8*I8))+' '!BA38</f>
        <v>25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.5" customHeight="1">
      <c r="A31" s="9"/>
      <c r="B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</sheetData>
  <sheetProtection password="E72E" sheet="1" objects="1" scenarios="1" selectLockedCells="1"/>
  <mergeCells count="53">
    <mergeCell ref="Z12:AC12"/>
    <mergeCell ref="Z13:AC13"/>
    <mergeCell ref="Z8:AC8"/>
    <mergeCell ref="R9:U9"/>
    <mergeCell ref="V9:Y9"/>
    <mergeCell ref="Z9:AC9"/>
    <mergeCell ref="R10:U10"/>
    <mergeCell ref="V10:Y10"/>
    <mergeCell ref="Z10:AC10"/>
    <mergeCell ref="V8:Y8"/>
    <mergeCell ref="C8:F8"/>
    <mergeCell ref="G8:H8"/>
    <mergeCell ref="I8:K8"/>
    <mergeCell ref="M8:O8"/>
    <mergeCell ref="R8:U8"/>
    <mergeCell ref="AB7:AC7"/>
    <mergeCell ref="C6:F6"/>
    <mergeCell ref="G6:H6"/>
    <mergeCell ref="I6:K6"/>
    <mergeCell ref="M6:O6"/>
    <mergeCell ref="R6:U6"/>
    <mergeCell ref="V6:Y6"/>
    <mergeCell ref="Z6:AC6"/>
    <mergeCell ref="C7:F7"/>
    <mergeCell ref="G7:H7"/>
    <mergeCell ref="I7:K7"/>
    <mergeCell ref="M7:O7"/>
    <mergeCell ref="C9:O9"/>
    <mergeCell ref="R2:U2"/>
    <mergeCell ref="V2:Y2"/>
    <mergeCell ref="Z2:AC2"/>
    <mergeCell ref="C3:F3"/>
    <mergeCell ref="G3:H3"/>
    <mergeCell ref="I3:K3"/>
    <mergeCell ref="M3:O3"/>
    <mergeCell ref="R3:U3"/>
    <mergeCell ref="V3:Y3"/>
    <mergeCell ref="I5:K5"/>
    <mergeCell ref="R5:U5"/>
    <mergeCell ref="V5:Y5"/>
    <mergeCell ref="R7:U7"/>
    <mergeCell ref="V7:Y7"/>
    <mergeCell ref="Z7:AA7"/>
    <mergeCell ref="Z3:AC3"/>
    <mergeCell ref="Z5:AC5"/>
    <mergeCell ref="C4:F4"/>
    <mergeCell ref="G4:H4"/>
    <mergeCell ref="I4:K4"/>
    <mergeCell ref="R4:U4"/>
    <mergeCell ref="V4:Y4"/>
    <mergeCell ref="Z4:AC4"/>
    <mergeCell ref="C5:F5"/>
    <mergeCell ref="G5:H5"/>
  </mergeCells>
  <conditionalFormatting sqref="C9:O9">
    <cfRule type="cellIs" priority="1" dxfId="20" operator="equal">
      <formula>" "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C23" sqref="C23"/>
    </sheetView>
  </sheetViews>
  <sheetFormatPr defaultColWidth="0" defaultRowHeight="0" customHeight="1" zeroHeight="1"/>
  <cols>
    <col min="1" max="1" width="0.71875" style="0" customWidth="1"/>
    <col min="2" max="2" width="52.8515625" style="0" customWidth="1"/>
    <col min="3" max="3" width="57.00390625" style="0" customWidth="1"/>
    <col min="4" max="4" width="0.9921875" style="0" customWidth="1"/>
    <col min="5" max="18" width="3.7109375" style="0" hidden="1" customWidth="1"/>
    <col min="19" max="19" width="0.13671875" style="0" hidden="1" customWidth="1"/>
    <col min="20" max="16384" width="0" style="0" hidden="1" customWidth="1"/>
  </cols>
  <sheetData>
    <row r="1" spans="1:19" ht="1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9"/>
    </row>
    <row r="2" spans="1:19" ht="15" customHeight="1">
      <c r="A2" s="27"/>
      <c r="B2" s="44" t="str">
        <f>IF(C3&lt;1,B3,B4)</f>
        <v>U begon met €25.- nu (tien dagen later) heeft u maarliefst €</v>
      </c>
      <c r="C2" s="26" t="str">
        <f>IF(C3=0,C5,(CONCATENATE(C3,C4)))</f>
        <v>25,-  opgehaald klik op score invoeren als je je score wilt invullen </v>
      </c>
      <c r="D2" s="45"/>
      <c r="E2" s="33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9"/>
    </row>
    <row r="3" spans="1:19" ht="15" customHeight="1">
      <c r="A3" s="27"/>
      <c r="B3" s="47" t="s">
        <v>23</v>
      </c>
      <c r="C3" s="48">
        <f>ROUND('10'!N30,2)</f>
        <v>25</v>
      </c>
      <c r="D3" s="26"/>
      <c r="E3" s="26"/>
      <c r="F3" s="30"/>
      <c r="G3" s="31"/>
      <c r="H3" s="31"/>
      <c r="I3" s="31"/>
      <c r="J3" s="30"/>
      <c r="K3" s="31"/>
      <c r="L3" s="31"/>
      <c r="M3" s="31"/>
      <c r="N3" s="30"/>
      <c r="O3" s="31"/>
      <c r="P3" s="31"/>
      <c r="Q3" s="31"/>
      <c r="R3" s="31"/>
      <c r="S3" s="9"/>
    </row>
    <row r="4" spans="1:19" ht="15" customHeight="1">
      <c r="A4" s="27"/>
      <c r="B4" s="49" t="s">
        <v>24</v>
      </c>
      <c r="C4" s="50" t="s">
        <v>26</v>
      </c>
      <c r="D4" s="29"/>
      <c r="E4" s="29"/>
      <c r="F4" s="30"/>
      <c r="G4" s="31"/>
      <c r="H4" s="31"/>
      <c r="I4" s="31"/>
      <c r="J4" s="30"/>
      <c r="K4" s="31"/>
      <c r="L4" s="31"/>
      <c r="M4" s="31"/>
      <c r="N4" s="30"/>
      <c r="O4" s="31"/>
      <c r="P4" s="31"/>
      <c r="Q4" s="31"/>
      <c r="R4" s="31"/>
      <c r="S4" s="9"/>
    </row>
    <row r="5" spans="1:19" ht="15" customHeight="1">
      <c r="A5" s="27"/>
      <c r="B5" s="51"/>
      <c r="C5" s="52" t="s">
        <v>4</v>
      </c>
      <c r="D5" s="29"/>
      <c r="E5" s="33"/>
      <c r="F5" s="30"/>
      <c r="G5" s="31"/>
      <c r="H5" s="31"/>
      <c r="I5" s="31"/>
      <c r="J5" s="30"/>
      <c r="K5" s="31"/>
      <c r="L5" s="31"/>
      <c r="M5" s="31"/>
      <c r="N5" s="30"/>
      <c r="O5" s="31"/>
      <c r="P5" s="31"/>
      <c r="Q5" s="31"/>
      <c r="R5" s="31"/>
      <c r="S5" s="9"/>
    </row>
    <row r="6" spans="1:19" ht="15" customHeight="1">
      <c r="A6" s="27"/>
      <c r="B6" s="186" t="str">
        <f>CONCATENATE("u score is ","€",C3)</f>
        <v>u score is €25</v>
      </c>
      <c r="C6" s="186"/>
      <c r="D6" s="28"/>
      <c r="E6" s="29"/>
      <c r="F6" s="30"/>
      <c r="G6" s="31"/>
      <c r="H6" s="31"/>
      <c r="I6" s="31"/>
      <c r="J6" s="30"/>
      <c r="K6" s="31"/>
      <c r="L6" s="31"/>
      <c r="M6" s="31"/>
      <c r="N6" s="30"/>
      <c r="O6" s="31"/>
      <c r="P6" s="31"/>
      <c r="Q6" s="31"/>
      <c r="R6" s="31"/>
      <c r="S6" s="9"/>
    </row>
    <row r="7" spans="1:19" ht="15" customHeight="1">
      <c r="A7" s="27"/>
      <c r="B7" s="34"/>
      <c r="C7" s="29"/>
      <c r="D7" s="28"/>
      <c r="E7" s="35"/>
      <c r="F7" s="30"/>
      <c r="G7" s="31"/>
      <c r="H7" s="31"/>
      <c r="I7" s="31"/>
      <c r="J7" s="30"/>
      <c r="K7" s="31"/>
      <c r="L7" s="31"/>
      <c r="M7" s="31"/>
      <c r="N7" s="36"/>
      <c r="O7" s="36"/>
      <c r="P7" s="37"/>
      <c r="Q7" s="37"/>
      <c r="R7" s="37"/>
      <c r="S7" s="9"/>
    </row>
    <row r="8" spans="1:19" ht="15" customHeight="1">
      <c r="A8" s="27"/>
      <c r="B8" s="32"/>
      <c r="C8" s="29"/>
      <c r="D8" s="28"/>
      <c r="E8" s="28"/>
      <c r="F8" s="30"/>
      <c r="G8" s="31"/>
      <c r="H8" s="31"/>
      <c r="I8" s="31"/>
      <c r="J8" s="30"/>
      <c r="K8" s="31"/>
      <c r="L8" s="31"/>
      <c r="M8" s="31"/>
      <c r="N8" s="30"/>
      <c r="O8" s="31"/>
      <c r="P8" s="31"/>
      <c r="Q8" s="31"/>
      <c r="R8" s="31"/>
      <c r="S8" s="9"/>
    </row>
    <row r="9" spans="1:19" ht="15" customHeight="1">
      <c r="A9" s="27"/>
      <c r="B9" s="40"/>
      <c r="C9" s="40"/>
      <c r="D9" s="28"/>
      <c r="E9" s="28"/>
      <c r="F9" s="30"/>
      <c r="G9" s="31"/>
      <c r="H9" s="31"/>
      <c r="I9" s="31"/>
      <c r="J9" s="30"/>
      <c r="K9" s="31"/>
      <c r="L9" s="31"/>
      <c r="M9" s="31"/>
      <c r="N9" s="30"/>
      <c r="O9" s="31"/>
      <c r="P9" s="31"/>
      <c r="Q9" s="31"/>
      <c r="R9" s="31"/>
      <c r="S9" s="9"/>
    </row>
    <row r="10" spans="1:19" ht="15" customHeight="1">
      <c r="A10" s="27"/>
      <c r="B10" s="28"/>
      <c r="C10" s="28"/>
      <c r="D10" s="28"/>
      <c r="E10" s="28"/>
      <c r="F10" s="30"/>
      <c r="G10" s="31"/>
      <c r="H10" s="31"/>
      <c r="I10" s="31"/>
      <c r="J10" s="30"/>
      <c r="K10" s="31"/>
      <c r="L10" s="31"/>
      <c r="M10" s="31"/>
      <c r="N10" s="30"/>
      <c r="O10" s="31"/>
      <c r="P10" s="31"/>
      <c r="Q10" s="31"/>
      <c r="R10" s="31"/>
      <c r="S10" s="9"/>
    </row>
    <row r="11" spans="1:19" ht="1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9"/>
    </row>
    <row r="12" spans="1:19" ht="15" customHeight="1">
      <c r="A12" s="27"/>
      <c r="B12" s="27"/>
      <c r="C12" s="27"/>
      <c r="D12" s="27"/>
      <c r="E12" s="27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9"/>
    </row>
    <row r="13" spans="1:19" ht="15" customHeight="1">
      <c r="A13" s="27"/>
      <c r="B13" s="27"/>
      <c r="C13" s="27"/>
      <c r="D13" s="27"/>
      <c r="E13" s="2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9"/>
    </row>
    <row r="14" spans="1:19" ht="15" customHeight="1">
      <c r="A14" s="27"/>
      <c r="B14" s="27"/>
      <c r="C14" s="27"/>
      <c r="D14" s="27"/>
      <c r="E14" s="27"/>
      <c r="F14" s="38"/>
      <c r="G14" s="38"/>
      <c r="H14" s="38"/>
      <c r="I14" s="38"/>
      <c r="J14" s="38"/>
      <c r="K14" s="38"/>
      <c r="L14" s="38"/>
      <c r="M14" s="38"/>
      <c r="N14" s="27"/>
      <c r="O14" s="27"/>
      <c r="P14" s="27"/>
      <c r="Q14" s="27"/>
      <c r="R14" s="27"/>
      <c r="S14" s="9"/>
    </row>
    <row r="15" spans="1:19" ht="15" customHeight="1">
      <c r="A15" s="27"/>
      <c r="B15" s="27"/>
      <c r="C15" s="27"/>
      <c r="D15" s="27"/>
      <c r="E15" s="27"/>
      <c r="F15" s="38"/>
      <c r="G15" s="38"/>
      <c r="H15" s="38"/>
      <c r="I15" s="38"/>
      <c r="J15" s="27"/>
      <c r="K15" s="27"/>
      <c r="L15" s="27"/>
      <c r="M15" s="27"/>
      <c r="N15" s="27"/>
      <c r="O15" s="27"/>
      <c r="P15" s="27"/>
      <c r="Q15" s="27"/>
      <c r="R15" s="27"/>
      <c r="S15" s="9"/>
    </row>
    <row r="16" spans="1:19" ht="1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9"/>
    </row>
    <row r="17" spans="1:19" ht="1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9"/>
    </row>
    <row r="18" spans="1:19" ht="1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9"/>
    </row>
    <row r="19" spans="1:19" ht="1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9"/>
    </row>
    <row r="20" spans="1:19" ht="1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9"/>
    </row>
    <row r="21" spans="1:19" ht="1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9"/>
    </row>
    <row r="22" spans="1:19" ht="1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9"/>
    </row>
    <row r="23" spans="1:19" ht="1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</row>
    <row r="24" spans="1:19" ht="1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9"/>
    </row>
    <row r="25" spans="1:19" ht="1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9"/>
    </row>
    <row r="26" spans="1:19" ht="1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9"/>
    </row>
    <row r="27" spans="1:19" ht="1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9"/>
    </row>
    <row r="28" spans="1:19" ht="15" customHeight="1">
      <c r="A28" s="27"/>
      <c r="B28" s="40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9"/>
    </row>
    <row r="29" spans="1:19" ht="15" customHeight="1">
      <c r="A29" s="27"/>
      <c r="B29" s="39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9"/>
    </row>
    <row r="30" spans="1:19" ht="1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9"/>
    </row>
    <row r="31" spans="1:19" ht="0.75" customHeight="1">
      <c r="A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</sheetData>
  <sheetProtection password="E72E" sheet="1" objects="1" scenarios="1" selectLockedCells="1" selectUnlockedCells="1"/>
  <mergeCells count="1">
    <mergeCell ref="B6:C6"/>
  </mergeCells>
  <printOptions/>
  <pageMargins left="0.7" right="0.7" top="0.75" bottom="0.75" header="0.3" footer="0.3"/>
  <pageSetup horizontalDpi="300" verticalDpi="300" orientation="portrait" paperSize="9" r:id="rId2"/>
  <ignoredErrors>
    <ignoredError sqref="B6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X48"/>
  <sheetViews>
    <sheetView zoomScalePageLayoutView="0" workbookViewId="0" topLeftCell="J6">
      <selection activeCell="AG22" sqref="AG22"/>
    </sheetView>
  </sheetViews>
  <sheetFormatPr defaultColWidth="9.140625" defaultRowHeight="15"/>
  <cols>
    <col min="1" max="1" width="22.7109375" style="0" bestFit="1" customWidth="1"/>
    <col min="2" max="120" width="3.7109375" style="0" customWidth="1"/>
  </cols>
  <sheetData>
    <row r="1" spans="1:102" ht="15">
      <c r="A1" s="58" t="s">
        <v>32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</row>
    <row r="2" spans="1:102" ht="15">
      <c r="A2" s="58" t="s">
        <v>33</v>
      </c>
      <c r="B2">
        <v>0</v>
      </c>
      <c r="C2">
        <v>1</v>
      </c>
      <c r="D2">
        <f>(((100-D1)/100)/2)+C2</f>
        <v>1.49</v>
      </c>
      <c r="E2">
        <f aca="true" t="shared" si="0" ref="E2:BP2">(((100-E1)/100)/2)+D2</f>
        <v>1.975</v>
      </c>
      <c r="F2">
        <f t="shared" si="0"/>
        <v>2.455</v>
      </c>
      <c r="G2">
        <f t="shared" si="0"/>
        <v>2.93</v>
      </c>
      <c r="H2">
        <f t="shared" si="0"/>
        <v>3.4000000000000004</v>
      </c>
      <c r="I2">
        <f t="shared" si="0"/>
        <v>3.865</v>
      </c>
      <c r="J2">
        <f t="shared" si="0"/>
        <v>4.325</v>
      </c>
      <c r="K2">
        <f t="shared" si="0"/>
        <v>4.78</v>
      </c>
      <c r="L2">
        <f t="shared" si="0"/>
        <v>5.23</v>
      </c>
      <c r="M2">
        <f t="shared" si="0"/>
        <v>5.675000000000001</v>
      </c>
      <c r="N2">
        <f t="shared" si="0"/>
        <v>6.115000000000001</v>
      </c>
      <c r="O2">
        <f t="shared" si="0"/>
        <v>6.550000000000001</v>
      </c>
      <c r="P2">
        <f t="shared" si="0"/>
        <v>6.98</v>
      </c>
      <c r="Q2">
        <f t="shared" si="0"/>
        <v>7.405</v>
      </c>
      <c r="R2">
        <f t="shared" si="0"/>
        <v>7.825</v>
      </c>
      <c r="S2">
        <f t="shared" si="0"/>
        <v>8.24</v>
      </c>
      <c r="T2">
        <f t="shared" si="0"/>
        <v>8.65</v>
      </c>
      <c r="U2">
        <f t="shared" si="0"/>
        <v>9.055</v>
      </c>
      <c r="V2">
        <f t="shared" si="0"/>
        <v>9.455</v>
      </c>
      <c r="W2">
        <f t="shared" si="0"/>
        <v>9.85</v>
      </c>
      <c r="X2">
        <f t="shared" si="0"/>
        <v>10.24</v>
      </c>
      <c r="Y2">
        <f t="shared" si="0"/>
        <v>10.625</v>
      </c>
      <c r="Z2">
        <f t="shared" si="0"/>
        <v>11.005</v>
      </c>
      <c r="AA2">
        <f t="shared" si="0"/>
        <v>11.38</v>
      </c>
      <c r="AB2">
        <f t="shared" si="0"/>
        <v>11.75</v>
      </c>
      <c r="AC2">
        <f t="shared" si="0"/>
        <v>12.115</v>
      </c>
      <c r="AD2">
        <f t="shared" si="0"/>
        <v>12.475</v>
      </c>
      <c r="AE2">
        <f t="shared" si="0"/>
        <v>12.83</v>
      </c>
      <c r="AF2">
        <f t="shared" si="0"/>
        <v>13.18</v>
      </c>
      <c r="AG2">
        <f t="shared" si="0"/>
        <v>13.525</v>
      </c>
      <c r="AH2">
        <f t="shared" si="0"/>
        <v>13.865</v>
      </c>
      <c r="AI2">
        <f t="shared" si="0"/>
        <v>14.200000000000001</v>
      </c>
      <c r="AJ2">
        <f t="shared" si="0"/>
        <v>14.530000000000001</v>
      </c>
      <c r="AK2">
        <f t="shared" si="0"/>
        <v>14.855</v>
      </c>
      <c r="AL2">
        <f t="shared" si="0"/>
        <v>15.175</v>
      </c>
      <c r="AM2">
        <f t="shared" si="0"/>
        <v>15.49</v>
      </c>
      <c r="AN2">
        <f t="shared" si="0"/>
        <v>15.8</v>
      </c>
      <c r="AO2">
        <f t="shared" si="0"/>
        <v>16.105</v>
      </c>
      <c r="AP2">
        <f t="shared" si="0"/>
        <v>16.405</v>
      </c>
      <c r="AQ2">
        <f t="shared" si="0"/>
        <v>16.700000000000003</v>
      </c>
      <c r="AR2">
        <f t="shared" si="0"/>
        <v>16.990000000000002</v>
      </c>
      <c r="AS2">
        <f t="shared" si="0"/>
        <v>17.275000000000002</v>
      </c>
      <c r="AT2">
        <f t="shared" si="0"/>
        <v>17.555000000000003</v>
      </c>
      <c r="AU2">
        <f t="shared" si="0"/>
        <v>17.830000000000002</v>
      </c>
      <c r="AV2">
        <f t="shared" si="0"/>
        <v>18.1</v>
      </c>
      <c r="AW2">
        <f t="shared" si="0"/>
        <v>18.365000000000002</v>
      </c>
      <c r="AX2">
        <f t="shared" si="0"/>
        <v>18.625000000000004</v>
      </c>
      <c r="AY2">
        <f t="shared" si="0"/>
        <v>18.880000000000003</v>
      </c>
      <c r="AZ2">
        <f t="shared" si="0"/>
        <v>19.130000000000003</v>
      </c>
      <c r="BA2">
        <f t="shared" si="0"/>
        <v>19.375000000000004</v>
      </c>
      <c r="BB2">
        <f t="shared" si="0"/>
        <v>19.615000000000002</v>
      </c>
      <c r="BC2">
        <f t="shared" si="0"/>
        <v>19.85</v>
      </c>
      <c r="BD2">
        <f t="shared" si="0"/>
        <v>20.080000000000002</v>
      </c>
      <c r="BE2">
        <f t="shared" si="0"/>
        <v>20.305000000000003</v>
      </c>
      <c r="BF2">
        <f t="shared" si="0"/>
        <v>20.525000000000002</v>
      </c>
      <c r="BG2">
        <f t="shared" si="0"/>
        <v>20.740000000000002</v>
      </c>
      <c r="BH2">
        <f t="shared" si="0"/>
        <v>20.950000000000003</v>
      </c>
      <c r="BI2">
        <f t="shared" si="0"/>
        <v>21.155</v>
      </c>
      <c r="BJ2">
        <f t="shared" si="0"/>
        <v>21.355</v>
      </c>
      <c r="BK2">
        <f t="shared" si="0"/>
        <v>21.55</v>
      </c>
      <c r="BL2">
        <f t="shared" si="0"/>
        <v>21.740000000000002</v>
      </c>
      <c r="BM2">
        <f t="shared" si="0"/>
        <v>21.925</v>
      </c>
      <c r="BN2">
        <f t="shared" si="0"/>
        <v>22.105</v>
      </c>
      <c r="BO2">
        <f t="shared" si="0"/>
        <v>22.28</v>
      </c>
      <c r="BP2">
        <f t="shared" si="0"/>
        <v>22.450000000000003</v>
      </c>
      <c r="BQ2">
        <f aca="true" t="shared" si="1" ref="BQ2:CW2">(((100-BQ1)/100)/2)+BP2</f>
        <v>22.615000000000002</v>
      </c>
      <c r="BR2">
        <f t="shared" si="1"/>
        <v>22.775000000000002</v>
      </c>
      <c r="BS2">
        <f t="shared" si="1"/>
        <v>22.930000000000003</v>
      </c>
      <c r="BT2">
        <f t="shared" si="1"/>
        <v>23.080000000000002</v>
      </c>
      <c r="BU2">
        <f t="shared" si="1"/>
        <v>23.225</v>
      </c>
      <c r="BV2">
        <f t="shared" si="1"/>
        <v>23.365000000000002</v>
      </c>
      <c r="BW2">
        <f t="shared" si="1"/>
        <v>23.500000000000004</v>
      </c>
      <c r="BX2">
        <f t="shared" si="1"/>
        <v>23.630000000000003</v>
      </c>
      <c r="BY2">
        <f t="shared" si="1"/>
        <v>23.755000000000003</v>
      </c>
      <c r="BZ2">
        <f t="shared" si="1"/>
        <v>23.875000000000004</v>
      </c>
      <c r="CA2">
        <f t="shared" si="1"/>
        <v>23.990000000000002</v>
      </c>
      <c r="CB2">
        <f t="shared" si="1"/>
        <v>24.1</v>
      </c>
      <c r="CC2">
        <f t="shared" si="1"/>
        <v>24.205000000000002</v>
      </c>
      <c r="CD2">
        <f t="shared" si="1"/>
        <v>24.305000000000003</v>
      </c>
      <c r="CE2">
        <f t="shared" si="1"/>
        <v>24.400000000000002</v>
      </c>
      <c r="CF2">
        <f t="shared" si="1"/>
        <v>24.490000000000002</v>
      </c>
      <c r="CG2">
        <f t="shared" si="1"/>
        <v>24.575000000000003</v>
      </c>
      <c r="CH2">
        <f t="shared" si="1"/>
        <v>24.655</v>
      </c>
      <c r="CI2">
        <f t="shared" si="1"/>
        <v>24.73</v>
      </c>
      <c r="CJ2">
        <f t="shared" si="1"/>
        <v>24.8</v>
      </c>
      <c r="CK2">
        <f t="shared" si="1"/>
        <v>24.865000000000002</v>
      </c>
      <c r="CL2">
        <f t="shared" si="1"/>
        <v>24.925</v>
      </c>
      <c r="CM2">
        <f t="shared" si="1"/>
        <v>24.98</v>
      </c>
      <c r="CN2">
        <f t="shared" si="1"/>
        <v>25.03</v>
      </c>
      <c r="CO2">
        <f t="shared" si="1"/>
        <v>25.075000000000003</v>
      </c>
      <c r="CP2">
        <f t="shared" si="1"/>
        <v>25.115000000000002</v>
      </c>
      <c r="CQ2">
        <f t="shared" si="1"/>
        <v>25.150000000000002</v>
      </c>
      <c r="CR2">
        <f t="shared" si="1"/>
        <v>25.180000000000003</v>
      </c>
      <c r="CS2">
        <f t="shared" si="1"/>
        <v>25.205000000000002</v>
      </c>
      <c r="CT2">
        <f t="shared" si="1"/>
        <v>25.225</v>
      </c>
      <c r="CU2">
        <f t="shared" si="1"/>
        <v>25.240000000000002</v>
      </c>
      <c r="CV2">
        <f t="shared" si="1"/>
        <v>25.250000000000004</v>
      </c>
      <c r="CW2">
        <f t="shared" si="1"/>
        <v>25.255000000000003</v>
      </c>
      <c r="CX2">
        <v>25</v>
      </c>
    </row>
    <row r="3" spans="1:102" ht="15.75" thickBot="1">
      <c r="A3" s="58" t="s">
        <v>34</v>
      </c>
      <c r="B3" s="55">
        <f aca="true" t="shared" si="2" ref="B3:AG3">IF(reclameborden=B1,B2,C3)</f>
        <v>0</v>
      </c>
      <c r="C3" s="54">
        <f t="shared" si="2"/>
        <v>0</v>
      </c>
      <c r="D3" s="54">
        <f t="shared" si="2"/>
        <v>0</v>
      </c>
      <c r="E3" s="54">
        <f t="shared" si="2"/>
        <v>0</v>
      </c>
      <c r="F3" s="54">
        <f t="shared" si="2"/>
        <v>0</v>
      </c>
      <c r="G3" s="54">
        <f t="shared" si="2"/>
        <v>0</v>
      </c>
      <c r="H3" s="54">
        <f t="shared" si="2"/>
        <v>0</v>
      </c>
      <c r="I3" s="54">
        <f t="shared" si="2"/>
        <v>0</v>
      </c>
      <c r="J3" s="54">
        <f t="shared" si="2"/>
        <v>0</v>
      </c>
      <c r="K3" s="54">
        <f t="shared" si="2"/>
        <v>0</v>
      </c>
      <c r="L3" s="54">
        <f t="shared" si="2"/>
        <v>0</v>
      </c>
      <c r="M3" s="54">
        <f t="shared" si="2"/>
        <v>0</v>
      </c>
      <c r="N3" s="54">
        <f t="shared" si="2"/>
        <v>0</v>
      </c>
      <c r="O3" s="54">
        <f t="shared" si="2"/>
        <v>0</v>
      </c>
      <c r="P3" s="54">
        <f t="shared" si="2"/>
        <v>0</v>
      </c>
      <c r="Q3" s="54">
        <f t="shared" si="2"/>
        <v>0</v>
      </c>
      <c r="R3" s="54">
        <f t="shared" si="2"/>
        <v>0</v>
      </c>
      <c r="S3" s="54">
        <f t="shared" si="2"/>
        <v>0</v>
      </c>
      <c r="T3" s="54">
        <f t="shared" si="2"/>
        <v>0</v>
      </c>
      <c r="U3" s="54">
        <f t="shared" si="2"/>
        <v>0</v>
      </c>
      <c r="V3" s="54">
        <f t="shared" si="2"/>
        <v>0</v>
      </c>
      <c r="W3" s="54">
        <f t="shared" si="2"/>
        <v>0</v>
      </c>
      <c r="X3" s="54">
        <f t="shared" si="2"/>
        <v>0</v>
      </c>
      <c r="Y3" s="54">
        <f t="shared" si="2"/>
        <v>0</v>
      </c>
      <c r="Z3" s="54">
        <f t="shared" si="2"/>
        <v>0</v>
      </c>
      <c r="AA3" s="54">
        <f t="shared" si="2"/>
        <v>0</v>
      </c>
      <c r="AB3" s="54">
        <f t="shared" si="2"/>
        <v>0</v>
      </c>
      <c r="AC3" s="54">
        <f t="shared" si="2"/>
        <v>0</v>
      </c>
      <c r="AD3" s="54">
        <f t="shared" si="2"/>
        <v>0</v>
      </c>
      <c r="AE3" s="54">
        <f t="shared" si="2"/>
        <v>0</v>
      </c>
      <c r="AF3" s="54">
        <f t="shared" si="2"/>
        <v>0</v>
      </c>
      <c r="AG3" s="54">
        <f t="shared" si="2"/>
        <v>0</v>
      </c>
      <c r="AH3" s="54">
        <f aca="true" t="shared" si="3" ref="AH3:BM3">IF(reclameborden=AH1,AH2,AI3)</f>
        <v>0</v>
      </c>
      <c r="AI3" s="54">
        <f t="shared" si="3"/>
        <v>0</v>
      </c>
      <c r="AJ3" s="54">
        <f t="shared" si="3"/>
        <v>0</v>
      </c>
      <c r="AK3" s="54">
        <f t="shared" si="3"/>
        <v>0</v>
      </c>
      <c r="AL3" s="54">
        <f t="shared" si="3"/>
        <v>0</v>
      </c>
      <c r="AM3" s="54">
        <f t="shared" si="3"/>
        <v>0</v>
      </c>
      <c r="AN3" s="54">
        <f t="shared" si="3"/>
        <v>0</v>
      </c>
      <c r="AO3" s="54">
        <f t="shared" si="3"/>
        <v>0</v>
      </c>
      <c r="AP3" s="54">
        <f t="shared" si="3"/>
        <v>0</v>
      </c>
      <c r="AQ3" s="54">
        <f t="shared" si="3"/>
        <v>0</v>
      </c>
      <c r="AR3" s="54">
        <f t="shared" si="3"/>
        <v>0</v>
      </c>
      <c r="AS3" s="54">
        <f t="shared" si="3"/>
        <v>0</v>
      </c>
      <c r="AT3" s="54">
        <f t="shared" si="3"/>
        <v>0</v>
      </c>
      <c r="AU3" s="54">
        <f t="shared" si="3"/>
        <v>0</v>
      </c>
      <c r="AV3" s="54">
        <f t="shared" si="3"/>
        <v>0</v>
      </c>
      <c r="AW3" s="54">
        <f t="shared" si="3"/>
        <v>0</v>
      </c>
      <c r="AX3" s="54">
        <f t="shared" si="3"/>
        <v>0</v>
      </c>
      <c r="AY3" s="54">
        <f t="shared" si="3"/>
        <v>0</v>
      </c>
      <c r="AZ3" s="54">
        <f t="shared" si="3"/>
        <v>0</v>
      </c>
      <c r="BA3" s="54">
        <f t="shared" si="3"/>
        <v>0</v>
      </c>
      <c r="BB3" s="54">
        <f t="shared" si="3"/>
        <v>0</v>
      </c>
      <c r="BC3" s="54">
        <f t="shared" si="3"/>
        <v>0</v>
      </c>
      <c r="BD3" s="54">
        <f t="shared" si="3"/>
        <v>0</v>
      </c>
      <c r="BE3" s="54">
        <f t="shared" si="3"/>
        <v>0</v>
      </c>
      <c r="BF3" s="54">
        <f t="shared" si="3"/>
        <v>0</v>
      </c>
      <c r="BG3" s="54">
        <f t="shared" si="3"/>
        <v>0</v>
      </c>
      <c r="BH3" s="54">
        <f t="shared" si="3"/>
        <v>0</v>
      </c>
      <c r="BI3" s="54">
        <f t="shared" si="3"/>
        <v>0</v>
      </c>
      <c r="BJ3" s="54">
        <f t="shared" si="3"/>
        <v>0</v>
      </c>
      <c r="BK3" s="54">
        <f t="shared" si="3"/>
        <v>0</v>
      </c>
      <c r="BL3" s="54">
        <f t="shared" si="3"/>
        <v>0</v>
      </c>
      <c r="BM3" s="54">
        <f t="shared" si="3"/>
        <v>0</v>
      </c>
      <c r="BN3" s="54">
        <f aca="true" t="shared" si="4" ref="BN3:CS3">IF(reclameborden=BN1,BN2,BO3)</f>
        <v>0</v>
      </c>
      <c r="BO3" s="54">
        <f t="shared" si="4"/>
        <v>0</v>
      </c>
      <c r="BP3" s="54">
        <f t="shared" si="4"/>
        <v>0</v>
      </c>
      <c r="BQ3" s="54">
        <f t="shared" si="4"/>
        <v>0</v>
      </c>
      <c r="BR3" s="54">
        <f t="shared" si="4"/>
        <v>0</v>
      </c>
      <c r="BS3" s="54">
        <f t="shared" si="4"/>
        <v>0</v>
      </c>
      <c r="BT3" s="54">
        <f t="shared" si="4"/>
        <v>0</v>
      </c>
      <c r="BU3" s="54">
        <f t="shared" si="4"/>
        <v>0</v>
      </c>
      <c r="BV3" s="54">
        <f t="shared" si="4"/>
        <v>0</v>
      </c>
      <c r="BW3" s="54">
        <f t="shared" si="4"/>
        <v>0</v>
      </c>
      <c r="BX3" s="54">
        <f t="shared" si="4"/>
        <v>0</v>
      </c>
      <c r="BY3" s="54">
        <f t="shared" si="4"/>
        <v>0</v>
      </c>
      <c r="BZ3" s="54">
        <f t="shared" si="4"/>
        <v>0</v>
      </c>
      <c r="CA3" s="54">
        <f t="shared" si="4"/>
        <v>0</v>
      </c>
      <c r="CB3" s="54">
        <f t="shared" si="4"/>
        <v>0</v>
      </c>
      <c r="CC3" s="54">
        <f t="shared" si="4"/>
        <v>0</v>
      </c>
      <c r="CD3" s="54">
        <f t="shared" si="4"/>
        <v>0</v>
      </c>
      <c r="CE3" s="54">
        <f t="shared" si="4"/>
        <v>0</v>
      </c>
      <c r="CF3" s="54">
        <f t="shared" si="4"/>
        <v>0</v>
      </c>
      <c r="CG3" s="54">
        <f t="shared" si="4"/>
        <v>0</v>
      </c>
      <c r="CH3" s="54">
        <f t="shared" si="4"/>
        <v>0</v>
      </c>
      <c r="CI3" s="54">
        <f t="shared" si="4"/>
        <v>0</v>
      </c>
      <c r="CJ3" s="54">
        <f t="shared" si="4"/>
        <v>0</v>
      </c>
      <c r="CK3" s="54">
        <f t="shared" si="4"/>
        <v>0</v>
      </c>
      <c r="CL3" s="54">
        <f t="shared" si="4"/>
        <v>0</v>
      </c>
      <c r="CM3" s="54">
        <f t="shared" si="4"/>
        <v>0</v>
      </c>
      <c r="CN3" s="54">
        <f t="shared" si="4"/>
        <v>0</v>
      </c>
      <c r="CO3" s="54">
        <f t="shared" si="4"/>
        <v>0</v>
      </c>
      <c r="CP3" s="54">
        <f t="shared" si="4"/>
        <v>0</v>
      </c>
      <c r="CQ3" s="54">
        <f t="shared" si="4"/>
        <v>0</v>
      </c>
      <c r="CR3" s="54">
        <f t="shared" si="4"/>
        <v>0</v>
      </c>
      <c r="CS3" s="54">
        <f t="shared" si="4"/>
        <v>0</v>
      </c>
      <c r="CT3" s="54">
        <f>IF(reclameborden=CT1,CT2,CU3)</f>
        <v>0</v>
      </c>
      <c r="CU3" s="54">
        <f>IF(reclameborden=CU1,CU2,CV3)</f>
        <v>0</v>
      </c>
      <c r="CV3" s="54">
        <f>IF(reclameborden=CV1,CV2,CW3)</f>
        <v>0</v>
      </c>
      <c r="CW3" s="54">
        <f>IF(reclameborden=CW1,CW2,CX3)</f>
        <v>0</v>
      </c>
      <c r="CX3" s="54">
        <f>IF(reclameborden&gt;CW1,' '!CX2,0)</f>
        <v>0</v>
      </c>
    </row>
    <row r="4" spans="1:3" ht="15.75" thickBot="1">
      <c r="A4" s="56" t="s">
        <v>35</v>
      </c>
      <c r="B4" s="191">
        <f>B3*50</f>
        <v>0</v>
      </c>
      <c r="C4" s="192"/>
    </row>
    <row r="5" spans="5:48" ht="15.75" thickBot="1">
      <c r="E5" s="203" t="s">
        <v>27</v>
      </c>
      <c r="F5" s="204"/>
      <c r="G5" s="204"/>
      <c r="H5" s="204"/>
      <c r="I5" s="204"/>
      <c r="J5" s="205"/>
      <c r="L5" s="57"/>
      <c r="M5" s="57"/>
      <c r="N5" s="57">
        <v>1</v>
      </c>
      <c r="O5" s="57">
        <v>2</v>
      </c>
      <c r="P5" s="57">
        <v>3</v>
      </c>
      <c r="Q5" s="57">
        <v>4</v>
      </c>
      <c r="R5" s="57">
        <v>5</v>
      </c>
      <c r="S5" s="57">
        <v>6</v>
      </c>
      <c r="T5" s="57">
        <v>7</v>
      </c>
      <c r="U5" s="57">
        <v>8</v>
      </c>
      <c r="V5" s="57">
        <v>9</v>
      </c>
      <c r="W5" s="57">
        <v>10</v>
      </c>
      <c r="X5" s="64"/>
      <c r="Y5" s="64"/>
      <c r="Z5" s="64"/>
      <c r="AA5" s="64"/>
      <c r="AB5" s="64"/>
      <c r="AC5" s="64"/>
      <c r="AD5" s="64"/>
      <c r="AE5" s="64"/>
      <c r="AF5" s="64"/>
      <c r="AG5" s="64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</row>
    <row r="6" spans="1:48" ht="15.75" thickBot="1">
      <c r="A6" s="58" t="s">
        <v>30</v>
      </c>
      <c r="B6" s="193" t="str">
        <f>L21</f>
        <v>bewolkt</v>
      </c>
      <c r="C6" s="193"/>
      <c r="E6" s="220" t="str">
        <f>Z9</f>
        <v>zonnig</v>
      </c>
      <c r="F6" s="221"/>
      <c r="G6" s="200" t="str">
        <f>AB9</f>
        <v>bewolkt</v>
      </c>
      <c r="H6" s="200"/>
      <c r="I6" s="201" t="str">
        <f>AD9</f>
        <v>regen achtig</v>
      </c>
      <c r="J6" s="202"/>
      <c r="L6" s="213" t="s">
        <v>43</v>
      </c>
      <c r="M6" s="214"/>
      <c r="N6" s="63">
        <f>1!M3</f>
        <v>25</v>
      </c>
      <c r="O6" s="63">
        <f>2!M3</f>
        <v>25</v>
      </c>
      <c r="P6" s="63">
        <f>3!M3</f>
        <v>25</v>
      </c>
      <c r="Q6" s="63">
        <f>4!M3</f>
        <v>25</v>
      </c>
      <c r="R6" s="63">
        <f>5!M3</f>
        <v>25</v>
      </c>
      <c r="S6" s="63">
        <f>6!M3</f>
        <v>25</v>
      </c>
      <c r="T6" s="63">
        <f>7!M3</f>
        <v>25</v>
      </c>
      <c r="U6" s="63">
        <f>8!M3</f>
        <v>25</v>
      </c>
      <c r="V6" s="63">
        <f>9!M3</f>
        <v>25</v>
      </c>
      <c r="W6" s="63">
        <f>'10'!M3</f>
        <v>25</v>
      </c>
      <c r="X6" s="65" t="s">
        <v>4</v>
      </c>
      <c r="Y6" s="65"/>
      <c r="Z6" s="65"/>
      <c r="AA6" s="65"/>
      <c r="AB6" s="65"/>
      <c r="AC6" s="65"/>
      <c r="AD6" s="64"/>
      <c r="AE6" s="64"/>
      <c r="AF6" s="64"/>
      <c r="AG6" s="64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</row>
    <row r="7" spans="5:48" ht="15.75" thickBot="1">
      <c r="E7" s="222">
        <v>5</v>
      </c>
      <c r="F7" s="223"/>
      <c r="G7" s="224">
        <v>0</v>
      </c>
      <c r="H7" s="224"/>
      <c r="I7" s="225">
        <v>-5</v>
      </c>
      <c r="J7" s="226"/>
      <c r="L7" s="57"/>
      <c r="M7" s="57"/>
      <c r="N7" s="57"/>
      <c r="O7" s="57"/>
      <c r="P7" s="57"/>
      <c r="Q7" s="57"/>
      <c r="R7" s="57"/>
      <c r="S7" s="57"/>
      <c r="T7" s="60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</row>
    <row r="8" spans="1:48" ht="15.75" thickBot="1">
      <c r="A8" s="56" t="s">
        <v>36</v>
      </c>
      <c r="B8" s="187">
        <f>IF(B6=E6,E7,IF(B6=G6,G7,IF(B6=I6,I7)))</f>
        <v>0</v>
      </c>
      <c r="C8" s="188"/>
      <c r="F8" s="57"/>
      <c r="L8" s="215" t="s">
        <v>44</v>
      </c>
      <c r="M8" s="216"/>
      <c r="N8" s="215" t="s">
        <v>45</v>
      </c>
      <c r="O8" s="216"/>
      <c r="P8" s="215" t="s">
        <v>46</v>
      </c>
      <c r="Q8" s="219"/>
      <c r="R8" s="203" t="s">
        <v>47</v>
      </c>
      <c r="S8" s="204"/>
      <c r="T8" s="215" t="s">
        <v>48</v>
      </c>
      <c r="U8" s="219"/>
      <c r="V8" s="57"/>
      <c r="W8" s="215" t="s">
        <v>49</v>
      </c>
      <c r="X8" s="219"/>
      <c r="Y8" s="57"/>
      <c r="Z8" s="227" t="s">
        <v>50</v>
      </c>
      <c r="AA8" s="228"/>
      <c r="AB8" s="228"/>
      <c r="AC8" s="228"/>
      <c r="AD8" s="228"/>
      <c r="AE8" s="229"/>
      <c r="AF8" s="57"/>
      <c r="AG8" s="66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/>
      <c r="AV8" s="57"/>
    </row>
    <row r="9" spans="5:48" ht="15.75" thickBot="1">
      <c r="E9" s="195" t="s">
        <v>38</v>
      </c>
      <c r="F9" s="196"/>
      <c r="G9" s="196"/>
      <c r="H9" s="196"/>
      <c r="I9" s="196"/>
      <c r="J9" s="197"/>
      <c r="L9" s="217">
        <f>MONTH(AB12)</f>
        <v>4</v>
      </c>
      <c r="M9" s="218"/>
      <c r="N9" s="217">
        <f>ROUND(DAY(AB12)/10,0)</f>
        <v>2</v>
      </c>
      <c r="O9" s="218"/>
      <c r="P9" s="230">
        <f>HOUR(AB12)</f>
        <v>14</v>
      </c>
      <c r="Q9" s="231"/>
      <c r="R9" s="232">
        <f>'10'!B29</f>
        <v>1</v>
      </c>
      <c r="S9" s="233"/>
      <c r="T9" s="232">
        <f>R9/4</f>
        <v>0.25</v>
      </c>
      <c r="U9" s="234"/>
      <c r="V9" s="57"/>
      <c r="W9" s="235">
        <f>IF(ROUND(AVERAGE(L9,N9,P9,R9,T9),0)&gt;20,(20-'[2] '!R9),ROUND(AVERAGE(L9,N9,P9,R9,T9),0))</f>
        <v>4</v>
      </c>
      <c r="X9" s="234"/>
      <c r="Y9" s="57"/>
      <c r="Z9" s="236" t="s">
        <v>29</v>
      </c>
      <c r="AA9" s="237"/>
      <c r="AB9" s="236" t="s">
        <v>28</v>
      </c>
      <c r="AC9" s="237"/>
      <c r="AD9" s="236" t="s">
        <v>83</v>
      </c>
      <c r="AE9" s="237"/>
      <c r="AF9" s="57"/>
      <c r="AG9" s="69"/>
      <c r="AH9" s="238" t="str">
        <f>IF(AL10=1,"25 euro opslag",IF(AL10=50,"laatste ronde",IF(AL10&gt;50,"je bent klaar",AL9)))</f>
        <v>25 euro opslag</v>
      </c>
      <c r="AI9" s="238"/>
      <c r="AJ9" s="238"/>
      <c r="AK9" s="238"/>
      <c r="AL9" s="239" t="s">
        <v>4</v>
      </c>
      <c r="AM9" s="240"/>
      <c r="AN9" s="241" t="s">
        <v>5</v>
      </c>
      <c r="AO9" s="242"/>
      <c r="AP9" s="243"/>
      <c r="AQ9" s="70"/>
      <c r="AR9" s="244">
        <f>IF(IF(AB18&lt;0,"nee",AB18)=0,0.01,AB18)</f>
        <v>235</v>
      </c>
      <c r="AS9" s="245"/>
      <c r="AT9" s="246"/>
      <c r="AU9" s="71"/>
      <c r="AV9" s="57"/>
    </row>
    <row r="10" spans="1:48" ht="15.75" thickBot="1">
      <c r="A10" s="58" t="s">
        <v>31</v>
      </c>
      <c r="B10" s="194">
        <f>L23</f>
        <v>19</v>
      </c>
      <c r="C10" s="194"/>
      <c r="D10" s="61"/>
      <c r="E10" s="198">
        <v>20</v>
      </c>
      <c r="F10" s="199"/>
      <c r="G10" s="200">
        <v>30</v>
      </c>
      <c r="H10" s="200"/>
      <c r="I10" s="201">
        <v>40</v>
      </c>
      <c r="J10" s="202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72"/>
      <c r="AB10" s="57"/>
      <c r="AC10" s="57"/>
      <c r="AD10" s="57"/>
      <c r="AE10" s="57"/>
      <c r="AF10" s="57"/>
      <c r="AG10" s="69"/>
      <c r="AH10" s="247" t="s">
        <v>6</v>
      </c>
      <c r="AI10" s="248"/>
      <c r="AJ10" s="248"/>
      <c r="AK10" s="249"/>
      <c r="AL10" s="250">
        <f>'10'!B29</f>
        <v>1</v>
      </c>
      <c r="AM10" s="251"/>
      <c r="AN10" s="252"/>
      <c r="AO10" s="253"/>
      <c r="AP10" s="253"/>
      <c r="AQ10" s="70"/>
      <c r="AR10" s="57"/>
      <c r="AS10" s="57"/>
      <c r="AT10" s="57"/>
      <c r="AU10" s="73"/>
      <c r="AV10" s="57"/>
    </row>
    <row r="11" spans="4:48" ht="15.75" thickBot="1">
      <c r="D11" s="62"/>
      <c r="E11" s="198" t="s">
        <v>40</v>
      </c>
      <c r="F11" s="199"/>
      <c r="G11" s="200" t="s">
        <v>39</v>
      </c>
      <c r="H11" s="200"/>
      <c r="I11" s="201" t="s">
        <v>41</v>
      </c>
      <c r="J11" s="202"/>
      <c r="L11" s="215" t="s">
        <v>51</v>
      </c>
      <c r="M11" s="219"/>
      <c r="N11" s="254" t="s">
        <v>52</v>
      </c>
      <c r="O11" s="219"/>
      <c r="P11" s="254" t="s">
        <v>53</v>
      </c>
      <c r="Q11" s="219"/>
      <c r="R11" s="215" t="s">
        <v>54</v>
      </c>
      <c r="S11" s="219"/>
      <c r="T11" s="254" t="s">
        <v>55</v>
      </c>
      <c r="U11" s="219"/>
      <c r="V11" s="203" t="s">
        <v>38</v>
      </c>
      <c r="W11" s="205"/>
      <c r="X11" s="57"/>
      <c r="Y11" s="227" t="s">
        <v>56</v>
      </c>
      <c r="Z11" s="229"/>
      <c r="AA11" s="57"/>
      <c r="AB11" s="227" t="s">
        <v>57</v>
      </c>
      <c r="AC11" s="228"/>
      <c r="AD11" s="228"/>
      <c r="AE11" s="229"/>
      <c r="AF11" s="57"/>
      <c r="AG11" s="69"/>
      <c r="AH11" s="241" t="s">
        <v>7</v>
      </c>
      <c r="AI11" s="242"/>
      <c r="AJ11" s="242"/>
      <c r="AK11" s="243"/>
      <c r="AL11" s="255">
        <f>IF(AN11=AN10,'10'!D29,AN11)</f>
        <v>1</v>
      </c>
      <c r="AM11" s="256"/>
      <c r="AN11" s="257">
        <v>1</v>
      </c>
      <c r="AO11" s="239"/>
      <c r="AP11" s="239"/>
      <c r="AQ11" s="72"/>
      <c r="AR11" s="57"/>
      <c r="AS11" s="57"/>
      <c r="AT11" s="57"/>
      <c r="AU11" s="73"/>
      <c r="AV11" s="57"/>
    </row>
    <row r="12" spans="1:48" ht="15.75" thickBot="1">
      <c r="A12" s="56" t="s">
        <v>42</v>
      </c>
      <c r="B12" s="211">
        <f>IF(B10&lt;E10,E12,IF(B10&lt;G10,G12,IF(B10&lt;I10,I12)))</f>
        <v>5</v>
      </c>
      <c r="C12" s="212"/>
      <c r="E12" s="206">
        <v>5</v>
      </c>
      <c r="F12" s="207"/>
      <c r="G12" s="208">
        <v>0</v>
      </c>
      <c r="H12" s="208"/>
      <c r="I12" s="209">
        <v>-5</v>
      </c>
      <c r="J12" s="210"/>
      <c r="L12" s="217" t="str">
        <f>IF(W9=AL11,1,AB15)</f>
        <v> </v>
      </c>
      <c r="M12" s="234"/>
      <c r="N12" s="270">
        <f>IF(AL11&lt;3,IF(AL11&gt;0,1,AB15),AB15)</f>
        <v>1</v>
      </c>
      <c r="O12" s="234"/>
      <c r="P12" s="270" t="str">
        <f>IF(AL10=(N9+T9),1,AB15)</f>
        <v> </v>
      </c>
      <c r="Q12" s="234"/>
      <c r="R12" s="217">
        <f>IF(IF(AL11&lt;8,1,0)=1,1,AB15)</f>
        <v>1</v>
      </c>
      <c r="S12" s="234"/>
      <c r="T12" s="270" t="str">
        <f>IF(AL10=(N9+T9-1),1,leeg)</f>
        <v> </v>
      </c>
      <c r="U12" s="234"/>
      <c r="V12" s="230">
        <f>IF(ROUND(P9,0)=0,ROUND((P9+(R9+L9)),0),ROUND((P9+(R9+T9+L9)),0))</f>
        <v>19</v>
      </c>
      <c r="W12" s="231"/>
      <c r="X12" s="57"/>
      <c r="Y12" s="271">
        <f>IF(L31=Z9,0.1,IF(L31=AB9,0.2,IF(L31=AD9,0.3,"?")))</f>
        <v>0.2</v>
      </c>
      <c r="Z12" s="272"/>
      <c r="AA12" s="57"/>
      <c r="AB12" s="273">
        <f ca="1">NOW()</f>
        <v>40650.61967824074</v>
      </c>
      <c r="AC12" s="274"/>
      <c r="AD12" s="274"/>
      <c r="AE12" s="275"/>
      <c r="AF12" s="57"/>
      <c r="AG12" s="69"/>
      <c r="AH12" s="247" t="s">
        <v>8</v>
      </c>
      <c r="AI12" s="248"/>
      <c r="AJ12" s="248"/>
      <c r="AK12" s="249"/>
      <c r="AL12" s="255">
        <f>'10'!E29</f>
        <v>0</v>
      </c>
      <c r="AM12" s="256"/>
      <c r="AN12" s="244">
        <f>T23</f>
        <v>0.39</v>
      </c>
      <c r="AO12" s="245"/>
      <c r="AP12" s="246"/>
      <c r="AQ12" s="72"/>
      <c r="AR12" s="258"/>
      <c r="AS12" s="258"/>
      <c r="AT12" s="258"/>
      <c r="AU12" s="71"/>
      <c r="AV12" s="57"/>
    </row>
    <row r="13" spans="12:48" ht="15.75" thickBot="1"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69"/>
      <c r="AH13" s="247" t="s">
        <v>9</v>
      </c>
      <c r="AI13" s="248"/>
      <c r="AJ13" s="248"/>
      <c r="AK13" s="249"/>
      <c r="AL13" s="255">
        <f>'10'!F29</f>
        <v>0</v>
      </c>
      <c r="AM13" s="256"/>
      <c r="AN13" s="241"/>
      <c r="AO13" s="242"/>
      <c r="AP13" s="242"/>
      <c r="AQ13" s="74"/>
      <c r="AR13" s="258"/>
      <c r="AS13" s="258"/>
      <c r="AT13" s="258"/>
      <c r="AU13" s="71"/>
      <c r="AV13" s="57"/>
    </row>
    <row r="14" spans="12:48" ht="15.75" thickBot="1">
      <c r="L14" s="259" t="str">
        <f>IF(N12=1,"je kar is verdronken 200 euro schade",L15)</f>
        <v>je kar is verdronken 200 euro schade</v>
      </c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1"/>
      <c r="X14" s="57"/>
      <c r="Y14" s="227">
        <f>IF(L14="je kar is verdronken 200 euro schade",200,Y15)</f>
        <v>200</v>
      </c>
      <c r="Z14" s="229"/>
      <c r="AA14" s="57"/>
      <c r="AB14" s="227" t="s">
        <v>58</v>
      </c>
      <c r="AC14" s="229"/>
      <c r="AD14" s="57"/>
      <c r="AE14" s="57"/>
      <c r="AF14" s="57"/>
      <c r="AG14" s="69"/>
      <c r="AH14" s="262" t="s">
        <v>11</v>
      </c>
      <c r="AI14" s="263"/>
      <c r="AJ14" s="263"/>
      <c r="AK14" s="264"/>
      <c r="AL14" s="265">
        <f>'10'!G29</f>
        <v>0</v>
      </c>
      <c r="AM14" s="266"/>
      <c r="AN14" s="267">
        <v>5</v>
      </c>
      <c r="AO14" s="268"/>
      <c r="AP14" s="269"/>
      <c r="AQ14" s="70"/>
      <c r="AR14" s="258"/>
      <c r="AS14" s="258"/>
      <c r="AT14" s="258"/>
      <c r="AU14" s="71"/>
      <c r="AV14" s="57"/>
    </row>
    <row r="15" spans="12:48" ht="15.75" thickBot="1">
      <c r="L15" s="259" t="str">
        <f>IF(P12=1,"een oorkaan kwam langs 200 euro schade",L16)</f>
        <v> </v>
      </c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1"/>
      <c r="X15" s="57"/>
      <c r="Y15" s="227">
        <f>IF(L15="een oorkaan kwam langs 200 euro schade",200,Y16)</f>
        <v>0</v>
      </c>
      <c r="Z15" s="229"/>
      <c r="AA15" s="57"/>
      <c r="AB15" s="276" t="s">
        <v>4</v>
      </c>
      <c r="AC15" s="277"/>
      <c r="AD15" s="57"/>
      <c r="AE15" s="57"/>
      <c r="AF15" s="57"/>
      <c r="AG15" s="69"/>
      <c r="AH15" s="278" t="str">
        <f>'[3]1'!$C$9</f>
        <v>je heb 20 dagen om zoveel mogelijk geld te verdienen</v>
      </c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80"/>
      <c r="AU15" s="71"/>
      <c r="AV15" s="57"/>
    </row>
    <row r="16" spans="1:48" ht="15.75" thickBot="1">
      <c r="A16" s="56" t="s">
        <v>37</v>
      </c>
      <c r="B16" s="189">
        <f>B4+B8+B12</f>
        <v>5</v>
      </c>
      <c r="C16" s="190"/>
      <c r="L16" s="259" t="str">
        <f>IF(L12=1,"een miljonair kwam langs en gaf je 100 euro",leeg)</f>
        <v> </v>
      </c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1"/>
      <c r="X16" s="57"/>
      <c r="Y16" s="227">
        <f>IF(L16="een miljonair kwam langs en gaf je 100 euro",100,0)</f>
        <v>0</v>
      </c>
      <c r="Z16" s="229"/>
      <c r="AA16" s="57"/>
      <c r="AB16" s="227">
        <v>0</v>
      </c>
      <c r="AC16" s="229"/>
      <c r="AD16" s="57"/>
      <c r="AE16" s="57"/>
      <c r="AF16" s="57"/>
      <c r="AG16" s="75"/>
      <c r="AH16" s="76"/>
      <c r="AI16" s="76"/>
      <c r="AJ16" s="76"/>
      <c r="AK16" s="76"/>
      <c r="AL16" s="76"/>
      <c r="AM16" s="76"/>
      <c r="AN16" s="76"/>
      <c r="AO16" s="76"/>
      <c r="AP16" s="76"/>
      <c r="AQ16" s="77"/>
      <c r="AR16" s="77"/>
      <c r="AS16" s="77"/>
      <c r="AT16" s="76"/>
      <c r="AU16" s="78"/>
      <c r="AV16" s="57"/>
    </row>
    <row r="17" spans="12:48" ht="15.75" thickBot="1"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64"/>
      <c r="AQ17" s="57"/>
      <c r="AR17" s="57"/>
      <c r="AS17" s="57"/>
      <c r="AT17" s="57"/>
      <c r="AU17" s="57"/>
      <c r="AV17" s="57"/>
    </row>
    <row r="18" spans="12:48" ht="15.75" thickBot="1">
      <c r="L18" s="180" t="str">
        <f>L28</f>
        <v>het weer</v>
      </c>
      <c r="M18" s="183"/>
      <c r="N18" s="183"/>
      <c r="O18" s="184"/>
      <c r="P18" s="180" t="str">
        <f>P28</f>
        <v>waarschuwing</v>
      </c>
      <c r="Q18" s="183"/>
      <c r="R18" s="183"/>
      <c r="S18" s="184"/>
      <c r="T18" s="180" t="str">
        <f aca="true" t="shared" si="5" ref="T18:T26">T28</f>
        <v>ijsprijs</v>
      </c>
      <c r="U18" s="183"/>
      <c r="V18" s="183"/>
      <c r="W18" s="184"/>
      <c r="X18" s="57"/>
      <c r="Y18" s="227" t="s">
        <v>59</v>
      </c>
      <c r="Z18" s="228"/>
      <c r="AA18" s="229"/>
      <c r="AB18" s="281">
        <f>Y14+AB19</f>
        <v>235</v>
      </c>
      <c r="AC18" s="282"/>
      <c r="AD18" s="57"/>
      <c r="AE18" s="283" t="s">
        <v>27</v>
      </c>
      <c r="AF18" s="283"/>
      <c r="AG18" s="283"/>
      <c r="AH18" s="283"/>
      <c r="AI18" s="283"/>
      <c r="AJ18" s="283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</row>
    <row r="19" spans="12:48" ht="15.75" thickBot="1">
      <c r="L19" s="285" t="str">
        <f aca="true" t="shared" si="6" ref="L19:L26">L29</f>
        <v>vandaag is</v>
      </c>
      <c r="M19" s="286"/>
      <c r="N19" s="286"/>
      <c r="O19" s="287"/>
      <c r="P19" s="288" t="str">
        <f>IF(T12=1,P29,IF(P12=1,"een oorkaan",P39))</f>
        <v>er is geen</v>
      </c>
      <c r="Q19" s="289"/>
      <c r="R19" s="289"/>
      <c r="S19" s="290"/>
      <c r="T19" s="288" t="str">
        <f t="shared" si="5"/>
        <v>de ijsprijs is</v>
      </c>
      <c r="U19" s="289"/>
      <c r="V19" s="289"/>
      <c r="W19" s="290"/>
      <c r="X19" s="57"/>
      <c r="Y19" s="227" t="s">
        <v>60</v>
      </c>
      <c r="Z19" s="228"/>
      <c r="AA19" s="229"/>
      <c r="AB19" s="281">
        <f>IF('[3]10'!$N$30&lt;0,"failliet",'[3]10'!$N$30)</f>
        <v>35</v>
      </c>
      <c r="AC19" s="291"/>
      <c r="AD19" s="57"/>
      <c r="AE19" s="292" t="str">
        <f>Z9</f>
        <v>zonnig</v>
      </c>
      <c r="AF19" s="292"/>
      <c r="AG19" s="292" t="str">
        <f>AB9</f>
        <v>bewolkt</v>
      </c>
      <c r="AH19" s="292"/>
      <c r="AI19" s="292" t="str">
        <f>AD9</f>
        <v>regen achtig</v>
      </c>
      <c r="AJ19" s="292"/>
      <c r="AK19" s="57"/>
      <c r="AL19" s="57"/>
      <c r="AM19" s="57"/>
      <c r="AN19" s="57"/>
      <c r="AO19" s="57"/>
      <c r="AP19" s="57"/>
      <c r="AQ19" s="57"/>
      <c r="AR19" s="57"/>
      <c r="AS19" s="57"/>
      <c r="AT19" s="79"/>
      <c r="AU19" s="64"/>
      <c r="AV19" s="57"/>
    </row>
    <row r="20" spans="12:48" ht="15.75" thickBot="1">
      <c r="L20" s="294" t="str">
        <f t="shared" si="6"/>
        <v>het tamelijk</v>
      </c>
      <c r="M20" s="295"/>
      <c r="N20" s="295"/>
      <c r="O20" s="296"/>
      <c r="P20" s="297" t="str">
        <f>IF(T12=1,P30,IF(P12=1,"bij het water",P40))</f>
        <v>waarschuwing</v>
      </c>
      <c r="Q20" s="298"/>
      <c r="R20" s="298"/>
      <c r="S20" s="299"/>
      <c r="T20" s="297" t="str">
        <f t="shared" si="5"/>
        <v>vandaag</v>
      </c>
      <c r="U20" s="298"/>
      <c r="V20" s="298"/>
      <c r="W20" s="299"/>
      <c r="X20" s="57"/>
      <c r="Y20" s="227" t="s">
        <v>61</v>
      </c>
      <c r="Z20" s="300"/>
      <c r="AA20" s="227" t="s">
        <v>62</v>
      </c>
      <c r="AB20" s="300"/>
      <c r="AC20" s="80">
        <f>AL14*AN14</f>
        <v>0</v>
      </c>
      <c r="AD20" s="57"/>
      <c r="AE20" s="284">
        <f>'[3]10'!E29-('[3]10'!E29/1.1)</f>
        <v>1.8181818181818201</v>
      </c>
      <c r="AF20" s="284"/>
      <c r="AG20" s="284">
        <f>'[3]10'!$E$29-('[3]10'!$E$29/1.5)</f>
        <v>6.666666666666666</v>
      </c>
      <c r="AH20" s="284"/>
      <c r="AI20" s="284">
        <f>'[3]10'!$E$29-('[3]10'!$E$29/2)</f>
        <v>10</v>
      </c>
      <c r="AJ20" s="284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</row>
    <row r="21" spans="12:48" ht="15.75" thickBot="1">
      <c r="L21" s="302" t="str">
        <f>L31</f>
        <v>bewolkt</v>
      </c>
      <c r="M21" s="303"/>
      <c r="N21" s="303"/>
      <c r="O21" s="304"/>
      <c r="P21" s="297" t="str">
        <f>IF(T12=1,P31,IF(P12=1,AB15,P41))</f>
        <v>voor vandaag</v>
      </c>
      <c r="Q21" s="298"/>
      <c r="R21" s="298"/>
      <c r="S21" s="299"/>
      <c r="T21" s="305" t="str">
        <f>T31</f>
        <v>erg laag</v>
      </c>
      <c r="U21" s="306"/>
      <c r="V21" s="306"/>
      <c r="W21" s="307"/>
      <c r="X21" s="57"/>
      <c r="Y21" s="227" t="s">
        <v>63</v>
      </c>
      <c r="Z21" s="300"/>
      <c r="AA21" s="308"/>
      <c r="AB21" s="309"/>
      <c r="AC21" s="81">
        <f>AL12*AN12</f>
        <v>0</v>
      </c>
      <c r="AD21" s="57"/>
      <c r="AE21" s="293">
        <f>IF(L31=AE19,AE20,IF(L31=AG19,AG20,IF(L31=AI19,AI20)))</f>
        <v>6.666666666666666</v>
      </c>
      <c r="AF21" s="293"/>
      <c r="AG21" s="87"/>
      <c r="AH21" s="59"/>
      <c r="AI21" s="59"/>
      <c r="AJ21" s="59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</row>
    <row r="22" spans="12:48" ht="15.75" thickBot="1">
      <c r="L22" s="294" t="str">
        <f t="shared" si="6"/>
        <v>met windkracht</v>
      </c>
      <c r="M22" s="295"/>
      <c r="N22" s="295"/>
      <c r="O22" s="296"/>
      <c r="P22" s="297" t="str">
        <f>IF(T12=1,P32,IF(P12=1,AB15,P42))</f>
        <v>of morgen</v>
      </c>
      <c r="Q22" s="298"/>
      <c r="R22" s="298"/>
      <c r="S22" s="299"/>
      <c r="T22" s="297" t="str">
        <f t="shared" si="5"/>
        <v>namelijk</v>
      </c>
      <c r="U22" s="298"/>
      <c r="V22" s="298"/>
      <c r="W22" s="299"/>
      <c r="X22" s="57"/>
      <c r="Y22" s="227" t="s">
        <v>64</v>
      </c>
      <c r="Z22" s="300"/>
      <c r="AA22" s="271"/>
      <c r="AB22" s="301"/>
      <c r="AC22" s="81">
        <v>1</v>
      </c>
      <c r="AD22" s="57"/>
      <c r="AE22" s="86"/>
      <c r="AF22" s="86"/>
      <c r="AG22" s="86"/>
      <c r="AH22" s="86"/>
      <c r="AI22" s="86"/>
      <c r="AJ22" s="86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</row>
    <row r="23" spans="2:48" ht="15.75" thickBot="1">
      <c r="B23" s="88"/>
      <c r="F23" s="54"/>
      <c r="G23" s="88"/>
      <c r="L23" s="302">
        <f>L33</f>
        <v>19</v>
      </c>
      <c r="M23" s="303"/>
      <c r="N23" s="303"/>
      <c r="O23" s="304"/>
      <c r="P23" s="297" t="str">
        <f>IF(T12=1,P33,IF(P12=1,AB15,P43))</f>
        <v>bekend</v>
      </c>
      <c r="Q23" s="298"/>
      <c r="R23" s="298"/>
      <c r="S23" s="299"/>
      <c r="T23" s="310">
        <f>T33</f>
        <v>0.39</v>
      </c>
      <c r="U23" s="311"/>
      <c r="V23" s="312" t="str">
        <f>V33</f>
        <v>euro</v>
      </c>
      <c r="W23" s="313"/>
      <c r="X23" s="57"/>
      <c r="Y23" s="57"/>
      <c r="Z23" s="57"/>
      <c r="AA23" s="227" t="s">
        <v>65</v>
      </c>
      <c r="AB23" s="300"/>
      <c r="AC23" s="82">
        <f>0+AC20+AC21+AC22</f>
        <v>1</v>
      </c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</row>
    <row r="24" spans="12:48" ht="15">
      <c r="L24" s="294" t="str">
        <f t="shared" si="6"/>
        <v> </v>
      </c>
      <c r="M24" s="295"/>
      <c r="N24" s="295"/>
      <c r="O24" s="296"/>
      <c r="P24" s="297" t="str">
        <f>IF(T12=1,P34,IF(P12=1,AB15,P44))</f>
        <v> </v>
      </c>
      <c r="Q24" s="298"/>
      <c r="R24" s="298"/>
      <c r="S24" s="299"/>
      <c r="T24" s="297" t="str">
        <f t="shared" si="5"/>
        <v>per stuk</v>
      </c>
      <c r="U24" s="298"/>
      <c r="V24" s="298"/>
      <c r="W24" s="299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89" t="str">
        <f>"je heb 10 dagen om zoveel mogelijk geld te verdienen"</f>
        <v>je heb 10 dagen om zoveel mogelijk geld te verdienen</v>
      </c>
      <c r="AS24" s="57"/>
      <c r="AT24" s="57"/>
      <c r="AU24" s="57"/>
      <c r="AV24" s="57"/>
    </row>
    <row r="25" spans="12:48" ht="15">
      <c r="L25" s="294" t="str">
        <f t="shared" si="6"/>
        <v> </v>
      </c>
      <c r="M25" s="295"/>
      <c r="N25" s="295"/>
      <c r="O25" s="296"/>
      <c r="P25" s="297" t="str">
        <f>P35</f>
        <v> </v>
      </c>
      <c r="Q25" s="298"/>
      <c r="R25" s="298"/>
      <c r="S25" s="299"/>
      <c r="T25" s="297" t="str">
        <f t="shared" si="5"/>
        <v> </v>
      </c>
      <c r="U25" s="298"/>
      <c r="V25" s="298"/>
      <c r="W25" s="299"/>
      <c r="X25" s="57"/>
      <c r="Y25" s="64"/>
      <c r="Z25" s="64"/>
      <c r="AA25" s="64"/>
      <c r="AB25" s="64"/>
      <c r="AC25" s="64"/>
      <c r="AD25" s="64"/>
      <c r="AE25" s="64"/>
      <c r="AF25" s="64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</row>
    <row r="26" spans="12:48" ht="15.75" thickBot="1">
      <c r="L26" s="314" t="str">
        <f t="shared" si="6"/>
        <v> </v>
      </c>
      <c r="M26" s="315"/>
      <c r="N26" s="315"/>
      <c r="O26" s="316"/>
      <c r="P26" s="317" t="str">
        <f>P36</f>
        <v> </v>
      </c>
      <c r="Q26" s="318"/>
      <c r="R26" s="318"/>
      <c r="S26" s="319"/>
      <c r="T26" s="317" t="str">
        <f t="shared" si="5"/>
        <v> </v>
      </c>
      <c r="U26" s="318"/>
      <c r="V26" s="318"/>
      <c r="W26" s="319"/>
      <c r="X26" s="57"/>
      <c r="Y26" s="64"/>
      <c r="Z26" s="64"/>
      <c r="AA26" s="64"/>
      <c r="AB26" s="64"/>
      <c r="AC26" s="64"/>
      <c r="AD26" s="64"/>
      <c r="AE26" s="64"/>
      <c r="AF26" s="64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</row>
    <row r="27" spans="11:48" ht="15.75" thickBot="1"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64"/>
      <c r="Z27" s="64"/>
      <c r="AA27" s="64"/>
      <c r="AB27" s="64"/>
      <c r="AC27" s="64"/>
      <c r="AD27" s="64"/>
      <c r="AE27" s="83"/>
      <c r="AF27" s="64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</row>
    <row r="28" spans="12:55" ht="15.75" thickBot="1">
      <c r="L28" s="180" t="str">
        <f>L38</f>
        <v>het weer</v>
      </c>
      <c r="M28" s="183"/>
      <c r="N28" s="183"/>
      <c r="O28" s="184"/>
      <c r="P28" s="180" t="str">
        <f>P38</f>
        <v>waarschuwing</v>
      </c>
      <c r="Q28" s="183"/>
      <c r="R28" s="183"/>
      <c r="S28" s="184"/>
      <c r="T28" s="180" t="str">
        <f>T38</f>
        <v>ijsprijs</v>
      </c>
      <c r="U28" s="183"/>
      <c r="V28" s="183"/>
      <c r="W28" s="184"/>
      <c r="X28" s="57"/>
      <c r="Y28" s="64"/>
      <c r="Z28" s="64"/>
      <c r="AA28" s="64"/>
      <c r="AB28" s="64"/>
      <c r="AC28" s="64"/>
      <c r="AD28" s="64"/>
      <c r="AE28" s="64"/>
      <c r="AF28" s="326" t="s">
        <v>47</v>
      </c>
      <c r="AG28" s="326"/>
      <c r="AH28" s="326"/>
      <c r="AI28" s="326" t="b">
        <v>1</v>
      </c>
      <c r="AJ28" s="326"/>
      <c r="AK28" s="326"/>
      <c r="AL28" s="329" t="s">
        <v>51</v>
      </c>
      <c r="AM28" s="330"/>
      <c r="AN28" s="329" t="s">
        <v>52</v>
      </c>
      <c r="AO28" s="330"/>
      <c r="AP28" s="329" t="s">
        <v>53</v>
      </c>
      <c r="AQ28" s="330"/>
      <c r="AR28" s="329" t="s">
        <v>54</v>
      </c>
      <c r="AS28" s="330"/>
      <c r="AT28" s="329" t="s">
        <v>55</v>
      </c>
      <c r="AU28" s="330"/>
      <c r="AV28" s="329" t="s">
        <v>38</v>
      </c>
      <c r="AW28" s="337"/>
      <c r="AX28" s="56">
        <v>1</v>
      </c>
      <c r="AY28" s="101">
        <v>2</v>
      </c>
      <c r="AZ28" s="102">
        <v>3</v>
      </c>
      <c r="BA28" s="106">
        <v>1</v>
      </c>
      <c r="BB28" s="107">
        <v>2</v>
      </c>
      <c r="BC28" s="108">
        <v>3</v>
      </c>
    </row>
    <row r="29" spans="12:55" ht="15">
      <c r="L29" s="285" t="s">
        <v>66</v>
      </c>
      <c r="M29" s="286"/>
      <c r="N29" s="286"/>
      <c r="O29" s="287"/>
      <c r="P29" s="288" t="s">
        <v>67</v>
      </c>
      <c r="Q29" s="289"/>
      <c r="R29" s="289"/>
      <c r="S29" s="290"/>
      <c r="T29" s="288" t="s">
        <v>68</v>
      </c>
      <c r="U29" s="289"/>
      <c r="V29" s="289"/>
      <c r="W29" s="290"/>
      <c r="X29" s="57"/>
      <c r="Y29" s="60"/>
      <c r="Z29" s="60"/>
      <c r="AA29" s="60"/>
      <c r="AB29" s="60"/>
      <c r="AC29" s="60"/>
      <c r="AD29" s="60"/>
      <c r="AE29" s="60"/>
      <c r="AF29" s="326">
        <v>1</v>
      </c>
      <c r="AG29" s="326"/>
      <c r="AH29" s="326"/>
      <c r="AI29" s="327">
        <f>1!G5</f>
        <v>0</v>
      </c>
      <c r="AJ29" s="326"/>
      <c r="AK29" s="326"/>
      <c r="AL29" s="215" t="str">
        <f aca="true" t="shared" si="7" ref="AL29:AL38">IF(minmax=AI29,1,leeg)</f>
        <v> </v>
      </c>
      <c r="AM29" s="219"/>
      <c r="AN29" s="215" t="str">
        <f aca="true" t="shared" si="8" ref="AN29:AN38">IF(AI29&lt;3,IF(AI29,1,leeg),leeg)</f>
        <v> </v>
      </c>
      <c r="AO29" s="219"/>
      <c r="AP29" s="215" t="str">
        <f aca="true" t="shared" si="9" ref="AP29:AP38">IF(AF29=(dag+man),1,leeg)</f>
        <v> </v>
      </c>
      <c r="AQ29" s="219"/>
      <c r="AR29" s="215">
        <f aca="true" t="shared" si="10" ref="AR29:AR38">IF(IF(AI29&lt;8,1,0)=1,1,leeg)</f>
        <v>1</v>
      </c>
      <c r="AS29" s="219"/>
      <c r="AT29" s="333" t="str">
        <f>IF(AF29=(dag+man-1),1,leeg)</f>
        <v> </v>
      </c>
      <c r="AU29" s="334"/>
      <c r="AV29" s="215">
        <f aca="true" t="shared" si="11" ref="AV29:AV38">IF(ROUND(uur,0)=0,ROUND((uur+(ronde_+maand)),0),ROUND((uur+(ronde_+man+maand)),0))</f>
        <v>19</v>
      </c>
      <c r="AW29" s="216"/>
      <c r="AX29" s="99" t="str">
        <f>IF(AN29=1,"je kar is verdronken 200 euro schade",AY29)</f>
        <v> </v>
      </c>
      <c r="AY29" s="100" t="str">
        <f>IF(AP29=1,"een oorkaan kwam langs 200 euro schade",AZ29)</f>
        <v> </v>
      </c>
      <c r="AZ29" s="103" t="str">
        <f aca="true" t="shared" si="12" ref="AZ29:AZ38">IF(AL29=1,"een miljonair kwam langs en gaf je 100 euro",leeg)</f>
        <v> </v>
      </c>
      <c r="BA29" s="91">
        <f>IF(AN29=1,-200,BB29)</f>
        <v>0</v>
      </c>
      <c r="BB29" s="92">
        <f>IF(AP29=1,-200,BC29)</f>
        <v>0</v>
      </c>
      <c r="BC29" s="93">
        <f>IF(AL29=1,100,0)</f>
        <v>0</v>
      </c>
    </row>
    <row r="30" spans="12:55" ht="15">
      <c r="L30" s="320" t="s">
        <v>69</v>
      </c>
      <c r="M30" s="321"/>
      <c r="N30" s="321"/>
      <c r="O30" s="322"/>
      <c r="P30" s="297" t="s">
        <v>70</v>
      </c>
      <c r="Q30" s="298"/>
      <c r="R30" s="298"/>
      <c r="S30" s="299"/>
      <c r="T30" s="297" t="s">
        <v>71</v>
      </c>
      <c r="U30" s="298"/>
      <c r="V30" s="298"/>
      <c r="W30" s="299"/>
      <c r="X30" s="57"/>
      <c r="Y30" s="83"/>
      <c r="Z30" s="84"/>
      <c r="AA30" s="84"/>
      <c r="AB30" s="84"/>
      <c r="AC30" s="84"/>
      <c r="AD30" s="84"/>
      <c r="AE30" s="84"/>
      <c r="AF30" s="326">
        <v>2</v>
      </c>
      <c r="AG30" s="326"/>
      <c r="AH30" s="326"/>
      <c r="AI30" s="327">
        <f>2!G5</f>
        <v>0</v>
      </c>
      <c r="AJ30" s="326"/>
      <c r="AK30" s="326"/>
      <c r="AL30" s="331" t="str">
        <f t="shared" si="7"/>
        <v> </v>
      </c>
      <c r="AM30" s="332"/>
      <c r="AN30" s="333" t="str">
        <f t="shared" si="8"/>
        <v> </v>
      </c>
      <c r="AO30" s="334"/>
      <c r="AP30" s="333" t="str">
        <f t="shared" si="9"/>
        <v> </v>
      </c>
      <c r="AQ30" s="334"/>
      <c r="AR30" s="333">
        <f t="shared" si="10"/>
        <v>1</v>
      </c>
      <c r="AS30" s="334"/>
      <c r="AT30" s="331"/>
      <c r="AU30" s="332"/>
      <c r="AV30" s="333">
        <f t="shared" si="11"/>
        <v>19</v>
      </c>
      <c r="AW30" s="338"/>
      <c r="AX30" s="94" t="str">
        <f aca="true" t="shared" si="13" ref="AX30:AX38">IF(AN30=1,"je kar is verdronken 200 euro schade",AY30)</f>
        <v> </v>
      </c>
      <c r="AY30" s="90" t="str">
        <f aca="true" t="shared" si="14" ref="AY30:AY38">IF(AP30=1,"een oorkaan kwam langs 200 euro schade",AZ30)</f>
        <v> </v>
      </c>
      <c r="AZ30" s="104" t="str">
        <f t="shared" si="12"/>
        <v> </v>
      </c>
      <c r="BA30" s="94">
        <f aca="true" t="shared" si="15" ref="BA30:BA38">IF(AN30=1,-200,BB30)</f>
        <v>0</v>
      </c>
      <c r="BB30" s="90">
        <f aca="true" t="shared" si="16" ref="BB30:BB38">IF(AP30=1,-200,BC30)</f>
        <v>0</v>
      </c>
      <c r="BC30" s="95">
        <f aca="true" t="shared" si="17" ref="BC30:BC38">IF(AL30=1,100,0)</f>
        <v>0</v>
      </c>
    </row>
    <row r="31" spans="12:55" ht="15">
      <c r="L31" s="297" t="str">
        <f>IF(P9&lt;9,Z9,IF(P9&gt;8,IF(P9&lt;17,AB9,IF(P9&gt;16,IF(P9&lt;25,AD9,"nee")))))</f>
        <v>bewolkt</v>
      </c>
      <c r="M31" s="298"/>
      <c r="N31" s="298"/>
      <c r="O31" s="299"/>
      <c r="P31" s="297" t="s">
        <v>72</v>
      </c>
      <c r="Q31" s="298"/>
      <c r="R31" s="298"/>
      <c r="S31" s="299"/>
      <c r="T31" s="297" t="str">
        <f>IF(T33&lt;25,"erg laag",IF(T33&lt;0.5,"laag",IF(T33&lt;0.75,"normaal",IF(T33&lt;1,"hoog",IF(T33&gt;0.99,"erg hoog")))))</f>
        <v>erg laag</v>
      </c>
      <c r="U31" s="298"/>
      <c r="V31" s="298"/>
      <c r="W31" s="299"/>
      <c r="X31" s="57"/>
      <c r="Y31" s="83"/>
      <c r="Z31" s="84"/>
      <c r="AA31" s="84"/>
      <c r="AB31" s="84"/>
      <c r="AC31" s="84"/>
      <c r="AD31" s="84"/>
      <c r="AE31" s="84"/>
      <c r="AF31" s="326">
        <v>3</v>
      </c>
      <c r="AG31" s="326"/>
      <c r="AH31" s="326"/>
      <c r="AI31" s="327">
        <f>3!G5</f>
        <v>0</v>
      </c>
      <c r="AJ31" s="326"/>
      <c r="AK31" s="326"/>
      <c r="AL31" s="331" t="str">
        <f t="shared" si="7"/>
        <v> </v>
      </c>
      <c r="AM31" s="332"/>
      <c r="AN31" s="333" t="str">
        <f t="shared" si="8"/>
        <v> </v>
      </c>
      <c r="AO31" s="334"/>
      <c r="AP31" s="333" t="str">
        <f t="shared" si="9"/>
        <v> </v>
      </c>
      <c r="AQ31" s="334"/>
      <c r="AR31" s="333">
        <f t="shared" si="10"/>
        <v>1</v>
      </c>
      <c r="AS31" s="334"/>
      <c r="AT31" s="331"/>
      <c r="AU31" s="332"/>
      <c r="AV31" s="333">
        <f t="shared" si="11"/>
        <v>19</v>
      </c>
      <c r="AW31" s="338"/>
      <c r="AX31" s="94" t="str">
        <f t="shared" si="13"/>
        <v> </v>
      </c>
      <c r="AY31" s="90" t="str">
        <f t="shared" si="14"/>
        <v> </v>
      </c>
      <c r="AZ31" s="104" t="str">
        <f t="shared" si="12"/>
        <v> </v>
      </c>
      <c r="BA31" s="94">
        <f t="shared" si="15"/>
        <v>0</v>
      </c>
      <c r="BB31" s="90">
        <f t="shared" si="16"/>
        <v>0</v>
      </c>
      <c r="BC31" s="95">
        <f t="shared" si="17"/>
        <v>0</v>
      </c>
    </row>
    <row r="32" spans="12:55" ht="15">
      <c r="L32" s="297" t="s">
        <v>73</v>
      </c>
      <c r="M32" s="298"/>
      <c r="N32" s="298"/>
      <c r="O32" s="299"/>
      <c r="P32" s="297" t="s">
        <v>74</v>
      </c>
      <c r="Q32" s="298"/>
      <c r="R32" s="298"/>
      <c r="S32" s="299"/>
      <c r="T32" s="297" t="s">
        <v>75</v>
      </c>
      <c r="U32" s="298"/>
      <c r="V32" s="298"/>
      <c r="W32" s="299"/>
      <c r="X32" s="57"/>
      <c r="Y32" s="83"/>
      <c r="Z32" s="84"/>
      <c r="AA32" s="84"/>
      <c r="AB32" s="84"/>
      <c r="AC32" s="84"/>
      <c r="AD32" s="84"/>
      <c r="AE32" s="84"/>
      <c r="AF32" s="326">
        <v>4</v>
      </c>
      <c r="AG32" s="326"/>
      <c r="AH32" s="326"/>
      <c r="AI32" s="327">
        <f>4!G5</f>
        <v>0</v>
      </c>
      <c r="AJ32" s="327"/>
      <c r="AK32" s="327"/>
      <c r="AL32" s="331" t="str">
        <f t="shared" si="7"/>
        <v> </v>
      </c>
      <c r="AM32" s="332"/>
      <c r="AN32" s="333" t="str">
        <f t="shared" si="8"/>
        <v> </v>
      </c>
      <c r="AO32" s="334"/>
      <c r="AP32" s="333" t="str">
        <f t="shared" si="9"/>
        <v> </v>
      </c>
      <c r="AQ32" s="334"/>
      <c r="AR32" s="333">
        <f t="shared" si="10"/>
        <v>1</v>
      </c>
      <c r="AS32" s="334"/>
      <c r="AT32" s="331"/>
      <c r="AU32" s="332"/>
      <c r="AV32" s="333">
        <f t="shared" si="11"/>
        <v>19</v>
      </c>
      <c r="AW32" s="338"/>
      <c r="AX32" s="94" t="str">
        <f t="shared" si="13"/>
        <v> </v>
      </c>
      <c r="AY32" s="90" t="str">
        <f t="shared" si="14"/>
        <v> </v>
      </c>
      <c r="AZ32" s="104" t="str">
        <f t="shared" si="12"/>
        <v> </v>
      </c>
      <c r="BA32" s="94">
        <f t="shared" si="15"/>
        <v>0</v>
      </c>
      <c r="BB32" s="90">
        <f t="shared" si="16"/>
        <v>0</v>
      </c>
      <c r="BC32" s="95">
        <f t="shared" si="17"/>
        <v>0</v>
      </c>
    </row>
    <row r="33" spans="12:55" ht="15">
      <c r="L33" s="297">
        <f>V12</f>
        <v>19</v>
      </c>
      <c r="M33" s="298"/>
      <c r="N33" s="298"/>
      <c r="O33" s="299"/>
      <c r="P33" s="297" t="s">
        <v>76</v>
      </c>
      <c r="Q33" s="298"/>
      <c r="R33" s="298"/>
      <c r="S33" s="299"/>
      <c r="T33" s="310">
        <f>ROUND((((P9-T9)+N9)/W9)/10,2)+(ronde/20)</f>
        <v>0.39</v>
      </c>
      <c r="U33" s="311"/>
      <c r="V33" s="312" t="s">
        <v>10</v>
      </c>
      <c r="W33" s="313"/>
      <c r="X33" s="57"/>
      <c r="Y33" s="83"/>
      <c r="Z33" s="84"/>
      <c r="AA33" s="84"/>
      <c r="AB33" s="84"/>
      <c r="AC33" s="84"/>
      <c r="AD33" s="84"/>
      <c r="AE33" s="84"/>
      <c r="AF33" s="326">
        <v>5</v>
      </c>
      <c r="AG33" s="326"/>
      <c r="AH33" s="326"/>
      <c r="AI33" s="327">
        <f>5!G5</f>
        <v>0</v>
      </c>
      <c r="AJ33" s="326"/>
      <c r="AK33" s="326"/>
      <c r="AL33" s="331" t="str">
        <f t="shared" si="7"/>
        <v> </v>
      </c>
      <c r="AM33" s="332"/>
      <c r="AN33" s="333" t="str">
        <f t="shared" si="8"/>
        <v> </v>
      </c>
      <c r="AO33" s="334"/>
      <c r="AP33" s="333" t="str">
        <f t="shared" si="9"/>
        <v> </v>
      </c>
      <c r="AQ33" s="334"/>
      <c r="AR33" s="333">
        <f t="shared" si="10"/>
        <v>1</v>
      </c>
      <c r="AS33" s="334"/>
      <c r="AT33" s="331"/>
      <c r="AU33" s="332"/>
      <c r="AV33" s="333">
        <f t="shared" si="11"/>
        <v>19</v>
      </c>
      <c r="AW33" s="338"/>
      <c r="AX33" s="94" t="str">
        <f t="shared" si="13"/>
        <v> </v>
      </c>
      <c r="AY33" s="90" t="str">
        <f t="shared" si="14"/>
        <v> </v>
      </c>
      <c r="AZ33" s="104" t="str">
        <f t="shared" si="12"/>
        <v> </v>
      </c>
      <c r="BA33" s="94">
        <f t="shared" si="15"/>
        <v>0</v>
      </c>
      <c r="BB33" s="90">
        <f t="shared" si="16"/>
        <v>0</v>
      </c>
      <c r="BC33" s="95">
        <f t="shared" si="17"/>
        <v>0</v>
      </c>
    </row>
    <row r="34" spans="12:55" ht="15">
      <c r="L34" s="297" t="str">
        <f>AB15</f>
        <v> </v>
      </c>
      <c r="M34" s="298"/>
      <c r="N34" s="298"/>
      <c r="O34" s="299"/>
      <c r="P34" s="297" t="s">
        <v>77</v>
      </c>
      <c r="Q34" s="298"/>
      <c r="R34" s="298"/>
      <c r="S34" s="299"/>
      <c r="T34" s="302" t="s">
        <v>78</v>
      </c>
      <c r="U34" s="298"/>
      <c r="V34" s="298"/>
      <c r="W34" s="299"/>
      <c r="X34" s="57"/>
      <c r="Y34" s="83"/>
      <c r="Z34" s="84"/>
      <c r="AA34" s="84"/>
      <c r="AB34" s="84"/>
      <c r="AC34" s="84"/>
      <c r="AD34" s="84"/>
      <c r="AE34" s="84"/>
      <c r="AF34" s="326">
        <v>6</v>
      </c>
      <c r="AG34" s="326"/>
      <c r="AH34" s="326"/>
      <c r="AI34" s="327">
        <f>6!G5</f>
        <v>0</v>
      </c>
      <c r="AJ34" s="326"/>
      <c r="AK34" s="326"/>
      <c r="AL34" s="331" t="str">
        <f t="shared" si="7"/>
        <v> </v>
      </c>
      <c r="AM34" s="332"/>
      <c r="AN34" s="333" t="str">
        <f t="shared" si="8"/>
        <v> </v>
      </c>
      <c r="AO34" s="334"/>
      <c r="AP34" s="333" t="str">
        <f t="shared" si="9"/>
        <v> </v>
      </c>
      <c r="AQ34" s="334"/>
      <c r="AR34" s="333">
        <f t="shared" si="10"/>
        <v>1</v>
      </c>
      <c r="AS34" s="334"/>
      <c r="AT34" s="331"/>
      <c r="AU34" s="332"/>
      <c r="AV34" s="333">
        <f t="shared" si="11"/>
        <v>19</v>
      </c>
      <c r="AW34" s="338"/>
      <c r="AX34" s="94" t="str">
        <f t="shared" si="13"/>
        <v> </v>
      </c>
      <c r="AY34" s="90" t="str">
        <f t="shared" si="14"/>
        <v> </v>
      </c>
      <c r="AZ34" s="104" t="str">
        <f t="shared" si="12"/>
        <v> </v>
      </c>
      <c r="BA34" s="94">
        <f t="shared" si="15"/>
        <v>0</v>
      </c>
      <c r="BB34" s="90">
        <f t="shared" si="16"/>
        <v>0</v>
      </c>
      <c r="BC34" s="95">
        <f t="shared" si="17"/>
        <v>0</v>
      </c>
    </row>
    <row r="35" spans="12:55" ht="15">
      <c r="L35" s="297" t="str">
        <f>AB15</f>
        <v> </v>
      </c>
      <c r="M35" s="298"/>
      <c r="N35" s="298"/>
      <c r="O35" s="299"/>
      <c r="P35" s="297" t="str">
        <f>AB15</f>
        <v> </v>
      </c>
      <c r="Q35" s="298"/>
      <c r="R35" s="298"/>
      <c r="S35" s="299"/>
      <c r="T35" s="297" t="str">
        <f>AB15</f>
        <v> </v>
      </c>
      <c r="U35" s="298"/>
      <c r="V35" s="298"/>
      <c r="W35" s="299"/>
      <c r="X35" s="57"/>
      <c r="Y35" s="83"/>
      <c r="Z35" s="84"/>
      <c r="AA35" s="84"/>
      <c r="AB35" s="84"/>
      <c r="AC35" s="84"/>
      <c r="AD35" s="84"/>
      <c r="AE35" s="84"/>
      <c r="AF35" s="326">
        <v>7</v>
      </c>
      <c r="AG35" s="326"/>
      <c r="AH35" s="326"/>
      <c r="AI35" s="327">
        <f>7!G5</f>
        <v>0</v>
      </c>
      <c r="AJ35" s="326"/>
      <c r="AK35" s="326"/>
      <c r="AL35" s="331" t="str">
        <f t="shared" si="7"/>
        <v> </v>
      </c>
      <c r="AM35" s="332"/>
      <c r="AN35" s="333" t="str">
        <f t="shared" si="8"/>
        <v> </v>
      </c>
      <c r="AO35" s="334"/>
      <c r="AP35" s="333" t="str">
        <f t="shared" si="9"/>
        <v> </v>
      </c>
      <c r="AQ35" s="334"/>
      <c r="AR35" s="333">
        <f t="shared" si="10"/>
        <v>1</v>
      </c>
      <c r="AS35" s="334"/>
      <c r="AT35" s="331"/>
      <c r="AU35" s="332"/>
      <c r="AV35" s="333">
        <f t="shared" si="11"/>
        <v>19</v>
      </c>
      <c r="AW35" s="338"/>
      <c r="AX35" s="94" t="str">
        <f t="shared" si="13"/>
        <v> </v>
      </c>
      <c r="AY35" s="90" t="str">
        <f t="shared" si="14"/>
        <v> </v>
      </c>
      <c r="AZ35" s="104" t="str">
        <f t="shared" si="12"/>
        <v> </v>
      </c>
      <c r="BA35" s="94">
        <f t="shared" si="15"/>
        <v>0</v>
      </c>
      <c r="BB35" s="90">
        <f t="shared" si="16"/>
        <v>0</v>
      </c>
      <c r="BC35" s="95">
        <f t="shared" si="17"/>
        <v>0</v>
      </c>
    </row>
    <row r="36" spans="12:55" ht="15.75" thickBot="1">
      <c r="L36" s="317" t="str">
        <f>AB15</f>
        <v> </v>
      </c>
      <c r="M36" s="318"/>
      <c r="N36" s="318"/>
      <c r="O36" s="319"/>
      <c r="P36" s="317" t="str">
        <f>AB15</f>
        <v> </v>
      </c>
      <c r="Q36" s="318"/>
      <c r="R36" s="318"/>
      <c r="S36" s="319"/>
      <c r="T36" s="323" t="str">
        <f>AB15</f>
        <v> </v>
      </c>
      <c r="U36" s="324"/>
      <c r="V36" s="324"/>
      <c r="W36" s="325"/>
      <c r="X36" s="57"/>
      <c r="Y36" s="83"/>
      <c r="Z36" s="84"/>
      <c r="AA36" s="84"/>
      <c r="AB36" s="84"/>
      <c r="AC36" s="84"/>
      <c r="AD36" s="84"/>
      <c r="AE36" s="84"/>
      <c r="AF36" s="326">
        <v>8</v>
      </c>
      <c r="AG36" s="326"/>
      <c r="AH36" s="326"/>
      <c r="AI36" s="327">
        <f>8!G5</f>
        <v>0</v>
      </c>
      <c r="AJ36" s="326"/>
      <c r="AK36" s="326"/>
      <c r="AL36" s="331" t="str">
        <f t="shared" si="7"/>
        <v> </v>
      </c>
      <c r="AM36" s="332"/>
      <c r="AN36" s="333" t="str">
        <f t="shared" si="8"/>
        <v> </v>
      </c>
      <c r="AO36" s="334"/>
      <c r="AP36" s="333" t="str">
        <f t="shared" si="9"/>
        <v> </v>
      </c>
      <c r="AQ36" s="334"/>
      <c r="AR36" s="333">
        <f t="shared" si="10"/>
        <v>1</v>
      </c>
      <c r="AS36" s="334"/>
      <c r="AT36" s="331"/>
      <c r="AU36" s="332"/>
      <c r="AV36" s="333">
        <f t="shared" si="11"/>
        <v>19</v>
      </c>
      <c r="AW36" s="338"/>
      <c r="AX36" s="94" t="str">
        <f t="shared" si="13"/>
        <v> </v>
      </c>
      <c r="AY36" s="90" t="str">
        <f t="shared" si="14"/>
        <v> </v>
      </c>
      <c r="AZ36" s="104" t="str">
        <f t="shared" si="12"/>
        <v> </v>
      </c>
      <c r="BA36" s="94">
        <f t="shared" si="15"/>
        <v>0</v>
      </c>
      <c r="BB36" s="90">
        <f t="shared" si="16"/>
        <v>0</v>
      </c>
      <c r="BC36" s="95">
        <f t="shared" si="17"/>
        <v>0</v>
      </c>
    </row>
    <row r="37" spans="10:55" ht="15.75" thickBot="1">
      <c r="J37" s="57"/>
      <c r="K37" s="57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57"/>
      <c r="Y37" s="83"/>
      <c r="Z37" s="84"/>
      <c r="AA37" s="84"/>
      <c r="AB37" s="84"/>
      <c r="AC37" s="84"/>
      <c r="AD37" s="84"/>
      <c r="AE37" s="84"/>
      <c r="AF37" s="326">
        <v>9</v>
      </c>
      <c r="AG37" s="326"/>
      <c r="AH37" s="326"/>
      <c r="AI37" s="327">
        <f>9!G5</f>
        <v>0</v>
      </c>
      <c r="AJ37" s="326"/>
      <c r="AK37" s="326"/>
      <c r="AL37" s="331" t="str">
        <f t="shared" si="7"/>
        <v> </v>
      </c>
      <c r="AM37" s="332"/>
      <c r="AN37" s="333" t="str">
        <f t="shared" si="8"/>
        <v> </v>
      </c>
      <c r="AO37" s="334"/>
      <c r="AP37" s="333" t="str">
        <f t="shared" si="9"/>
        <v> </v>
      </c>
      <c r="AQ37" s="334"/>
      <c r="AR37" s="333">
        <f t="shared" si="10"/>
        <v>1</v>
      </c>
      <c r="AS37" s="334"/>
      <c r="AT37" s="331"/>
      <c r="AU37" s="332"/>
      <c r="AV37" s="333">
        <f t="shared" si="11"/>
        <v>19</v>
      </c>
      <c r="AW37" s="338"/>
      <c r="AX37" s="94" t="str">
        <f t="shared" si="13"/>
        <v> </v>
      </c>
      <c r="AY37" s="90" t="str">
        <f t="shared" si="14"/>
        <v> </v>
      </c>
      <c r="AZ37" s="104" t="str">
        <f t="shared" si="12"/>
        <v> </v>
      </c>
      <c r="BA37" s="94">
        <f t="shared" si="15"/>
        <v>0</v>
      </c>
      <c r="BB37" s="90">
        <f t="shared" si="16"/>
        <v>0</v>
      </c>
      <c r="BC37" s="95">
        <f t="shared" si="17"/>
        <v>0</v>
      </c>
    </row>
    <row r="38" spans="12:55" ht="15.75" thickBot="1">
      <c r="L38" s="180" t="s">
        <v>0</v>
      </c>
      <c r="M38" s="183"/>
      <c r="N38" s="183"/>
      <c r="O38" s="184"/>
      <c r="P38" s="180" t="s">
        <v>1</v>
      </c>
      <c r="Q38" s="183"/>
      <c r="R38" s="183"/>
      <c r="S38" s="184"/>
      <c r="T38" s="180" t="s">
        <v>2</v>
      </c>
      <c r="U38" s="183"/>
      <c r="V38" s="183"/>
      <c r="W38" s="184"/>
      <c r="X38" s="57"/>
      <c r="Y38" s="83"/>
      <c r="Z38" s="84"/>
      <c r="AA38" s="84"/>
      <c r="AB38" s="84"/>
      <c r="AC38" s="84"/>
      <c r="AD38" s="84"/>
      <c r="AE38" s="84"/>
      <c r="AF38" s="326">
        <v>10</v>
      </c>
      <c r="AG38" s="326"/>
      <c r="AH38" s="326"/>
      <c r="AI38" s="327">
        <f>'10'!G5</f>
        <v>0</v>
      </c>
      <c r="AJ38" s="326"/>
      <c r="AK38" s="326"/>
      <c r="AL38" s="217" t="str">
        <f t="shared" si="7"/>
        <v> </v>
      </c>
      <c r="AM38" s="234"/>
      <c r="AN38" s="335" t="str">
        <f t="shared" si="8"/>
        <v> </v>
      </c>
      <c r="AO38" s="336"/>
      <c r="AP38" s="335" t="str">
        <f t="shared" si="9"/>
        <v> </v>
      </c>
      <c r="AQ38" s="336"/>
      <c r="AR38" s="335">
        <f t="shared" si="10"/>
        <v>1</v>
      </c>
      <c r="AS38" s="336"/>
      <c r="AT38" s="217"/>
      <c r="AU38" s="234"/>
      <c r="AV38" s="335">
        <f t="shared" si="11"/>
        <v>19</v>
      </c>
      <c r="AW38" s="339"/>
      <c r="AX38" s="96" t="str">
        <f t="shared" si="13"/>
        <v> </v>
      </c>
      <c r="AY38" s="97" t="str">
        <f t="shared" si="14"/>
        <v> </v>
      </c>
      <c r="AZ38" s="105" t="str">
        <f t="shared" si="12"/>
        <v> </v>
      </c>
      <c r="BA38" s="96">
        <f t="shared" si="15"/>
        <v>0</v>
      </c>
      <c r="BB38" s="97">
        <f t="shared" si="16"/>
        <v>0</v>
      </c>
      <c r="BC38" s="98">
        <f t="shared" si="17"/>
        <v>0</v>
      </c>
    </row>
    <row r="39" spans="12:49" ht="15">
      <c r="L39" s="285" t="s">
        <v>4</v>
      </c>
      <c r="M39" s="286"/>
      <c r="N39" s="286"/>
      <c r="O39" s="287"/>
      <c r="P39" s="288" t="s">
        <v>79</v>
      </c>
      <c r="Q39" s="289"/>
      <c r="R39" s="289"/>
      <c r="S39" s="290"/>
      <c r="T39" s="288"/>
      <c r="U39" s="289"/>
      <c r="V39" s="289"/>
      <c r="W39" s="290"/>
      <c r="X39" s="57"/>
      <c r="Y39" s="83"/>
      <c r="Z39" s="84"/>
      <c r="AA39" s="84"/>
      <c r="AB39" s="84"/>
      <c r="AC39" s="84"/>
      <c r="AD39" s="84"/>
      <c r="AE39" s="84"/>
      <c r="AF39" s="326"/>
      <c r="AG39" s="326"/>
      <c r="AH39" s="326"/>
      <c r="AI39" s="327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</row>
    <row r="40" spans="12:49" ht="15">
      <c r="L40" s="320" t="s">
        <v>4</v>
      </c>
      <c r="M40" s="321"/>
      <c r="N40" s="321"/>
      <c r="O40" s="322"/>
      <c r="P40" s="297" t="s">
        <v>1</v>
      </c>
      <c r="Q40" s="298"/>
      <c r="R40" s="298"/>
      <c r="S40" s="299"/>
      <c r="T40" s="297"/>
      <c r="U40" s="298"/>
      <c r="V40" s="298"/>
      <c r="W40" s="299"/>
      <c r="X40" s="57"/>
      <c r="Y40" s="57"/>
      <c r="Z40" s="57"/>
      <c r="AA40" s="57"/>
      <c r="AB40" s="57"/>
      <c r="AC40" s="57"/>
      <c r="AD40" s="57"/>
      <c r="AE40" s="57" t="s">
        <v>84</v>
      </c>
      <c r="AF40" s="328">
        <f>'10'!B29</f>
        <v>1</v>
      </c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</row>
    <row r="41" spans="12:49" ht="15">
      <c r="L41" s="297" t="s">
        <v>4</v>
      </c>
      <c r="M41" s="298"/>
      <c r="N41" s="298"/>
      <c r="O41" s="299"/>
      <c r="P41" s="297" t="s">
        <v>80</v>
      </c>
      <c r="Q41" s="298"/>
      <c r="R41" s="298"/>
      <c r="S41" s="299"/>
      <c r="T41" s="297"/>
      <c r="U41" s="298"/>
      <c r="V41" s="298"/>
      <c r="W41" s="299"/>
      <c r="X41" s="57"/>
      <c r="Y41" s="57"/>
      <c r="Z41" s="57"/>
      <c r="AA41" s="57"/>
      <c r="AB41" s="57"/>
      <c r="AC41" s="57"/>
      <c r="AD41" s="57"/>
      <c r="AE41" s="57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</row>
    <row r="42" spans="12:49" ht="15">
      <c r="L42" s="297" t="s">
        <v>4</v>
      </c>
      <c r="M42" s="298"/>
      <c r="N42" s="298"/>
      <c r="O42" s="299"/>
      <c r="P42" s="297" t="s">
        <v>81</v>
      </c>
      <c r="Q42" s="298"/>
      <c r="R42" s="298"/>
      <c r="S42" s="299"/>
      <c r="T42" s="297"/>
      <c r="U42" s="298"/>
      <c r="V42" s="298"/>
      <c r="W42" s="299"/>
      <c r="X42" s="57"/>
      <c r="Y42" s="57"/>
      <c r="Z42" s="57"/>
      <c r="AA42" s="57"/>
      <c r="AB42" s="57"/>
      <c r="AC42" s="57"/>
      <c r="AD42" s="57"/>
      <c r="AE42" s="57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</row>
    <row r="43" spans="12:49" ht="15">
      <c r="L43" s="297" t="s">
        <v>4</v>
      </c>
      <c r="M43" s="298"/>
      <c r="N43" s="298"/>
      <c r="O43" s="299"/>
      <c r="P43" s="297" t="s">
        <v>82</v>
      </c>
      <c r="Q43" s="298"/>
      <c r="R43" s="298"/>
      <c r="S43" s="299"/>
      <c r="T43" s="310"/>
      <c r="U43" s="311"/>
      <c r="V43" s="312"/>
      <c r="W43" s="313"/>
      <c r="X43" s="57"/>
      <c r="Y43" s="57"/>
      <c r="Z43" s="57"/>
      <c r="AA43" s="57"/>
      <c r="AB43" s="57"/>
      <c r="AC43" s="57"/>
      <c r="AD43" s="57"/>
      <c r="AE43" s="57"/>
      <c r="AF43" s="326"/>
      <c r="AG43" s="326"/>
      <c r="AH43" s="326"/>
      <c r="AI43" s="326"/>
      <c r="AJ43" s="326"/>
      <c r="AK43" s="326"/>
      <c r="AL43" s="326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</row>
    <row r="44" spans="12:49" ht="15">
      <c r="L44" s="297" t="s">
        <v>4</v>
      </c>
      <c r="M44" s="298"/>
      <c r="N44" s="298"/>
      <c r="O44" s="299"/>
      <c r="P44" s="297" t="s">
        <v>4</v>
      </c>
      <c r="Q44" s="298"/>
      <c r="R44" s="298"/>
      <c r="S44" s="299"/>
      <c r="T44" s="297" t="s">
        <v>4</v>
      </c>
      <c r="U44" s="298"/>
      <c r="V44" s="298"/>
      <c r="W44" s="299"/>
      <c r="X44" s="57"/>
      <c r="Y44" s="57"/>
      <c r="Z44" s="57"/>
      <c r="AA44" s="57"/>
      <c r="AB44" s="57"/>
      <c r="AC44" s="57"/>
      <c r="AD44" s="57"/>
      <c r="AE44" s="57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</row>
    <row r="45" spans="12:49" ht="15">
      <c r="L45" s="297" t="s">
        <v>4</v>
      </c>
      <c r="M45" s="298"/>
      <c r="N45" s="298"/>
      <c r="O45" s="299"/>
      <c r="P45" s="297" t="s">
        <v>4</v>
      </c>
      <c r="Q45" s="298"/>
      <c r="R45" s="298"/>
      <c r="S45" s="299"/>
      <c r="T45" s="297" t="s">
        <v>4</v>
      </c>
      <c r="U45" s="298"/>
      <c r="V45" s="298"/>
      <c r="W45" s="299"/>
      <c r="X45" s="57"/>
      <c r="Y45" s="57"/>
      <c r="Z45" s="57"/>
      <c r="AA45" s="57"/>
      <c r="AB45" s="57"/>
      <c r="AC45" s="57"/>
      <c r="AD45" s="57"/>
      <c r="AE45" s="57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</row>
    <row r="46" spans="12:49" ht="15.75" thickBot="1">
      <c r="L46" s="317" t="s">
        <v>4</v>
      </c>
      <c r="M46" s="318"/>
      <c r="N46" s="318"/>
      <c r="O46" s="319"/>
      <c r="P46" s="317" t="s">
        <v>4</v>
      </c>
      <c r="Q46" s="318"/>
      <c r="R46" s="318"/>
      <c r="S46" s="319"/>
      <c r="T46" s="317" t="s">
        <v>4</v>
      </c>
      <c r="U46" s="318"/>
      <c r="V46" s="318"/>
      <c r="W46" s="319"/>
      <c r="X46" s="57"/>
      <c r="Y46" s="57"/>
      <c r="Z46" s="57"/>
      <c r="AA46" s="57"/>
      <c r="AB46" s="57"/>
      <c r="AC46" s="57"/>
      <c r="AD46" s="57"/>
      <c r="AE46" s="57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</row>
    <row r="47" spans="12:49" ht="15"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</row>
    <row r="48" spans="12:49" ht="15"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326"/>
      <c r="AG48" s="326"/>
      <c r="AH48" s="326"/>
      <c r="AI48" s="326"/>
      <c r="AJ48" s="326"/>
      <c r="AK48" s="326"/>
      <c r="AL48" s="326"/>
      <c r="AM48" s="326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</row>
  </sheetData>
  <sheetProtection/>
  <protectedRanges>
    <protectedRange password="C60E" sqref="AL8:AL12" name="Bereik1"/>
  </protectedRanges>
  <mergeCells count="359">
    <mergeCell ref="AL47:AM47"/>
    <mergeCell ref="AN47:AO47"/>
    <mergeCell ref="AP47:AQ47"/>
    <mergeCell ref="AR47:AS47"/>
    <mergeCell ref="AT47:AU47"/>
    <mergeCell ref="AV47:AW47"/>
    <mergeCell ref="AL48:AM48"/>
    <mergeCell ref="AN48:AO48"/>
    <mergeCell ref="AP48:AQ48"/>
    <mergeCell ref="AR48:AS48"/>
    <mergeCell ref="AT48:AU48"/>
    <mergeCell ref="AV48:AW48"/>
    <mergeCell ref="AL45:AM45"/>
    <mergeCell ref="AN45:AO45"/>
    <mergeCell ref="AP45:AQ45"/>
    <mergeCell ref="AR45:AS45"/>
    <mergeCell ref="AT45:AU45"/>
    <mergeCell ref="AV45:AW45"/>
    <mergeCell ref="AL46:AM46"/>
    <mergeCell ref="AN46:AO46"/>
    <mergeCell ref="AP46:AQ46"/>
    <mergeCell ref="AR46:AS46"/>
    <mergeCell ref="AT46:AU46"/>
    <mergeCell ref="AV46:AW46"/>
    <mergeCell ref="AL43:AM43"/>
    <mergeCell ref="AN43:AO43"/>
    <mergeCell ref="AP43:AQ43"/>
    <mergeCell ref="AR43:AS43"/>
    <mergeCell ref="AT43:AU43"/>
    <mergeCell ref="AV43:AW43"/>
    <mergeCell ref="AL44:AM44"/>
    <mergeCell ref="AN44:AO44"/>
    <mergeCell ref="AP44:AQ44"/>
    <mergeCell ref="AR44:AS44"/>
    <mergeCell ref="AT44:AU44"/>
    <mergeCell ref="AV44:AW44"/>
    <mergeCell ref="AR41:AS41"/>
    <mergeCell ref="AT41:AU41"/>
    <mergeCell ref="AV41:AW41"/>
    <mergeCell ref="AL42:AM42"/>
    <mergeCell ref="AN42:AO42"/>
    <mergeCell ref="AP42:AQ42"/>
    <mergeCell ref="AR42:AS42"/>
    <mergeCell ref="AT42:AU42"/>
    <mergeCell ref="AV42:AW42"/>
    <mergeCell ref="AT38:AU38"/>
    <mergeCell ref="AV38:AW38"/>
    <mergeCell ref="AL39:AM39"/>
    <mergeCell ref="AN39:AO39"/>
    <mergeCell ref="AP39:AQ39"/>
    <mergeCell ref="AR39:AS39"/>
    <mergeCell ref="AT39:AU39"/>
    <mergeCell ref="AV39:AW39"/>
    <mergeCell ref="AL40:AM40"/>
    <mergeCell ref="AN40:AO40"/>
    <mergeCell ref="AP40:AQ40"/>
    <mergeCell ref="AR40:AS40"/>
    <mergeCell ref="AT40:AU40"/>
    <mergeCell ref="AV40:AW40"/>
    <mergeCell ref="AT35:AU35"/>
    <mergeCell ref="AV35:AW35"/>
    <mergeCell ref="AL36:AM36"/>
    <mergeCell ref="AN36:AO36"/>
    <mergeCell ref="AP36:AQ36"/>
    <mergeCell ref="AR36:AS36"/>
    <mergeCell ref="AT36:AU36"/>
    <mergeCell ref="AV36:AW36"/>
    <mergeCell ref="AL37:AM37"/>
    <mergeCell ref="AN37:AO37"/>
    <mergeCell ref="AP37:AQ37"/>
    <mergeCell ref="AR37:AS37"/>
    <mergeCell ref="AT37:AU37"/>
    <mergeCell ref="AV37:AW37"/>
    <mergeCell ref="AT32:AU32"/>
    <mergeCell ref="AV32:AW32"/>
    <mergeCell ref="AL33:AM33"/>
    <mergeCell ref="AN33:AO33"/>
    <mergeCell ref="AP33:AQ33"/>
    <mergeCell ref="AR33:AS33"/>
    <mergeCell ref="AT33:AU33"/>
    <mergeCell ref="AV33:AW33"/>
    <mergeCell ref="AL34:AM34"/>
    <mergeCell ref="AN34:AO34"/>
    <mergeCell ref="AP34:AQ34"/>
    <mergeCell ref="AR34:AS34"/>
    <mergeCell ref="AT34:AU34"/>
    <mergeCell ref="AV34:AW34"/>
    <mergeCell ref="AT28:AU28"/>
    <mergeCell ref="AV28:AW28"/>
    <mergeCell ref="AL30:AM30"/>
    <mergeCell ref="AN30:AO30"/>
    <mergeCell ref="AP30:AQ30"/>
    <mergeCell ref="AR30:AS30"/>
    <mergeCell ref="AT30:AU30"/>
    <mergeCell ref="AV30:AW30"/>
    <mergeCell ref="AL31:AM31"/>
    <mergeCell ref="AN31:AO31"/>
    <mergeCell ref="AP31:AQ31"/>
    <mergeCell ref="AR31:AS31"/>
    <mergeCell ref="AT31:AU31"/>
    <mergeCell ref="AV31:AW31"/>
    <mergeCell ref="AL29:AM29"/>
    <mergeCell ref="AN29:AO29"/>
    <mergeCell ref="AP29:AQ29"/>
    <mergeCell ref="AR29:AS29"/>
    <mergeCell ref="AT29:AU29"/>
    <mergeCell ref="AV29:AW29"/>
    <mergeCell ref="AF48:AH48"/>
    <mergeCell ref="AI48:AK48"/>
    <mergeCell ref="AL28:AM28"/>
    <mergeCell ref="AN28:AO28"/>
    <mergeCell ref="AP28:AQ28"/>
    <mergeCell ref="AR28:AS28"/>
    <mergeCell ref="AL32:AM32"/>
    <mergeCell ref="AN32:AO32"/>
    <mergeCell ref="AP32:AQ32"/>
    <mergeCell ref="AR32:AS32"/>
    <mergeCell ref="AL35:AM35"/>
    <mergeCell ref="AN35:AO35"/>
    <mergeCell ref="AP35:AQ35"/>
    <mergeCell ref="AR35:AS35"/>
    <mergeCell ref="AL38:AM38"/>
    <mergeCell ref="AN38:AO38"/>
    <mergeCell ref="AP38:AQ38"/>
    <mergeCell ref="AR38:AS38"/>
    <mergeCell ref="AL41:AM41"/>
    <mergeCell ref="AN41:AO41"/>
    <mergeCell ref="AP41:AQ41"/>
    <mergeCell ref="AF46:AH46"/>
    <mergeCell ref="AI46:AK46"/>
    <mergeCell ref="AF47:AH47"/>
    <mergeCell ref="AI47:AK47"/>
    <mergeCell ref="AF44:AH44"/>
    <mergeCell ref="AI44:AK44"/>
    <mergeCell ref="AF45:AH45"/>
    <mergeCell ref="AI45:AK45"/>
    <mergeCell ref="AF42:AH42"/>
    <mergeCell ref="AI42:AK42"/>
    <mergeCell ref="AF43:AH43"/>
    <mergeCell ref="AI43:AK43"/>
    <mergeCell ref="AF40:AH40"/>
    <mergeCell ref="AI40:AK40"/>
    <mergeCell ref="AF41:AH41"/>
    <mergeCell ref="AI41:AK41"/>
    <mergeCell ref="AF38:AH38"/>
    <mergeCell ref="AI38:AK38"/>
    <mergeCell ref="AF39:AH39"/>
    <mergeCell ref="AI39:AK39"/>
    <mergeCell ref="AF36:AH36"/>
    <mergeCell ref="AI36:AK36"/>
    <mergeCell ref="AF37:AH37"/>
    <mergeCell ref="AI37:AK37"/>
    <mergeCell ref="AF34:AH34"/>
    <mergeCell ref="AI34:AK34"/>
    <mergeCell ref="AF35:AH35"/>
    <mergeCell ref="AI35:AK35"/>
    <mergeCell ref="AI32:AK32"/>
    <mergeCell ref="AF33:AH33"/>
    <mergeCell ref="AI33:AK33"/>
    <mergeCell ref="L46:O46"/>
    <mergeCell ref="P46:S46"/>
    <mergeCell ref="T46:W46"/>
    <mergeCell ref="L43:O43"/>
    <mergeCell ref="P43:S43"/>
    <mergeCell ref="T43:U43"/>
    <mergeCell ref="V43:W43"/>
    <mergeCell ref="L44:O44"/>
    <mergeCell ref="P44:S44"/>
    <mergeCell ref="T44:W44"/>
    <mergeCell ref="L45:O45"/>
    <mergeCell ref="P45:S45"/>
    <mergeCell ref="T45:W45"/>
    <mergeCell ref="L40:O40"/>
    <mergeCell ref="P40:S40"/>
    <mergeCell ref="T40:W40"/>
    <mergeCell ref="L41:O41"/>
    <mergeCell ref="AF28:AH28"/>
    <mergeCell ref="AI28:AK28"/>
    <mergeCell ref="AF29:AH29"/>
    <mergeCell ref="AI29:AK29"/>
    <mergeCell ref="AF30:AH30"/>
    <mergeCell ref="AI30:AK30"/>
    <mergeCell ref="AF31:AH31"/>
    <mergeCell ref="AI31:AK31"/>
    <mergeCell ref="AF32:AH32"/>
    <mergeCell ref="P41:S41"/>
    <mergeCell ref="T41:W41"/>
    <mergeCell ref="L42:O42"/>
    <mergeCell ref="P42:S42"/>
    <mergeCell ref="T42:W42"/>
    <mergeCell ref="L36:O36"/>
    <mergeCell ref="P36:S36"/>
    <mergeCell ref="T36:W36"/>
    <mergeCell ref="L38:O38"/>
    <mergeCell ref="P38:S38"/>
    <mergeCell ref="T38:W38"/>
    <mergeCell ref="L39:O39"/>
    <mergeCell ref="P39:S39"/>
    <mergeCell ref="T39:W39"/>
    <mergeCell ref="L33:O33"/>
    <mergeCell ref="P33:S33"/>
    <mergeCell ref="T33:U33"/>
    <mergeCell ref="V33:W33"/>
    <mergeCell ref="L34:O34"/>
    <mergeCell ref="P34:S34"/>
    <mergeCell ref="T34:W34"/>
    <mergeCell ref="L35:O35"/>
    <mergeCell ref="P35:S35"/>
    <mergeCell ref="T35:W35"/>
    <mergeCell ref="L30:O30"/>
    <mergeCell ref="P30:S30"/>
    <mergeCell ref="T30:W30"/>
    <mergeCell ref="L31:O31"/>
    <mergeCell ref="P31:S31"/>
    <mergeCell ref="T31:W31"/>
    <mergeCell ref="L32:O32"/>
    <mergeCell ref="P32:S32"/>
    <mergeCell ref="T32:W32"/>
    <mergeCell ref="L26:O26"/>
    <mergeCell ref="P26:S26"/>
    <mergeCell ref="T26:W26"/>
    <mergeCell ref="L28:O28"/>
    <mergeCell ref="P28:S28"/>
    <mergeCell ref="T28:W28"/>
    <mergeCell ref="L29:O29"/>
    <mergeCell ref="P29:S29"/>
    <mergeCell ref="T29:W29"/>
    <mergeCell ref="L23:O23"/>
    <mergeCell ref="P23:S23"/>
    <mergeCell ref="T23:U23"/>
    <mergeCell ref="V23:W23"/>
    <mergeCell ref="AA23:AB23"/>
    <mergeCell ref="L24:O24"/>
    <mergeCell ref="P24:S24"/>
    <mergeCell ref="T24:W24"/>
    <mergeCell ref="L25:O25"/>
    <mergeCell ref="P25:S25"/>
    <mergeCell ref="T25:W25"/>
    <mergeCell ref="L22:O22"/>
    <mergeCell ref="P22:S22"/>
    <mergeCell ref="T22:W22"/>
    <mergeCell ref="Y22:Z22"/>
    <mergeCell ref="AA22:AB22"/>
    <mergeCell ref="L21:O21"/>
    <mergeCell ref="P21:S21"/>
    <mergeCell ref="T21:W21"/>
    <mergeCell ref="Y21:Z21"/>
    <mergeCell ref="AA21:AB21"/>
    <mergeCell ref="AI20:AJ20"/>
    <mergeCell ref="L19:O19"/>
    <mergeCell ref="P19:S19"/>
    <mergeCell ref="T19:W19"/>
    <mergeCell ref="Y19:AA19"/>
    <mergeCell ref="AB19:AC19"/>
    <mergeCell ref="AE19:AF19"/>
    <mergeCell ref="AE21:AF21"/>
    <mergeCell ref="AG19:AH19"/>
    <mergeCell ref="AI19:AJ19"/>
    <mergeCell ref="L20:O20"/>
    <mergeCell ref="P20:S20"/>
    <mergeCell ref="T20:W20"/>
    <mergeCell ref="Y20:Z20"/>
    <mergeCell ref="AA20:AB20"/>
    <mergeCell ref="AE20:AF20"/>
    <mergeCell ref="AG20:AH20"/>
    <mergeCell ref="L15:W15"/>
    <mergeCell ref="Y15:Z15"/>
    <mergeCell ref="AB15:AC15"/>
    <mergeCell ref="AH15:AT15"/>
    <mergeCell ref="L16:W16"/>
    <mergeCell ref="Y16:Z16"/>
    <mergeCell ref="AB16:AC16"/>
    <mergeCell ref="L18:O18"/>
    <mergeCell ref="P18:S18"/>
    <mergeCell ref="T18:W18"/>
    <mergeCell ref="Y18:AA18"/>
    <mergeCell ref="AB18:AC18"/>
    <mergeCell ref="AE18:AJ18"/>
    <mergeCell ref="AL12:AM12"/>
    <mergeCell ref="AN12:AP12"/>
    <mergeCell ref="AR12:AT12"/>
    <mergeCell ref="AH13:AK13"/>
    <mergeCell ref="AL13:AM13"/>
    <mergeCell ref="AN13:AP13"/>
    <mergeCell ref="AR13:AT13"/>
    <mergeCell ref="L14:W14"/>
    <mergeCell ref="Y14:Z14"/>
    <mergeCell ref="AB14:AC14"/>
    <mergeCell ref="AH14:AK14"/>
    <mergeCell ref="AL14:AM14"/>
    <mergeCell ref="AN14:AP14"/>
    <mergeCell ref="AR14:AT14"/>
    <mergeCell ref="L12:M12"/>
    <mergeCell ref="N12:O12"/>
    <mergeCell ref="P12:Q12"/>
    <mergeCell ref="R12:S12"/>
    <mergeCell ref="T12:U12"/>
    <mergeCell ref="V12:W12"/>
    <mergeCell ref="Y12:Z12"/>
    <mergeCell ref="AB12:AE12"/>
    <mergeCell ref="AH12:AK12"/>
    <mergeCell ref="AH9:AK9"/>
    <mergeCell ref="AL9:AM9"/>
    <mergeCell ref="AN9:AP9"/>
    <mergeCell ref="AR9:AT9"/>
    <mergeCell ref="AH10:AK10"/>
    <mergeCell ref="AL10:AM10"/>
    <mergeCell ref="AN10:AP10"/>
    <mergeCell ref="L11:M11"/>
    <mergeCell ref="N11:O11"/>
    <mergeCell ref="P11:Q11"/>
    <mergeCell ref="R11:S11"/>
    <mergeCell ref="T11:U11"/>
    <mergeCell ref="V11:W11"/>
    <mergeCell ref="Y11:Z11"/>
    <mergeCell ref="AB11:AE11"/>
    <mergeCell ref="AH11:AK11"/>
    <mergeCell ref="AL11:AM11"/>
    <mergeCell ref="AN11:AP11"/>
    <mergeCell ref="T8:U8"/>
    <mergeCell ref="W8:X8"/>
    <mergeCell ref="Z8:AE8"/>
    <mergeCell ref="N9:O9"/>
    <mergeCell ref="P9:Q9"/>
    <mergeCell ref="R9:S9"/>
    <mergeCell ref="T9:U9"/>
    <mergeCell ref="W9:X9"/>
    <mergeCell ref="Z9:AA9"/>
    <mergeCell ref="AB9:AC9"/>
    <mergeCell ref="AD9:AE9"/>
    <mergeCell ref="L6:M6"/>
    <mergeCell ref="L8:M8"/>
    <mergeCell ref="L9:M9"/>
    <mergeCell ref="E10:F10"/>
    <mergeCell ref="G10:H10"/>
    <mergeCell ref="I10:J10"/>
    <mergeCell ref="N8:O8"/>
    <mergeCell ref="P8:Q8"/>
    <mergeCell ref="R8:S8"/>
    <mergeCell ref="E6:F6"/>
    <mergeCell ref="G6:H6"/>
    <mergeCell ref="I6:J6"/>
    <mergeCell ref="E7:F7"/>
    <mergeCell ref="G7:H7"/>
    <mergeCell ref="I7:J7"/>
    <mergeCell ref="B8:C8"/>
    <mergeCell ref="B16:C16"/>
    <mergeCell ref="B4:C4"/>
    <mergeCell ref="B6:C6"/>
    <mergeCell ref="B10:C10"/>
    <mergeCell ref="E9:J9"/>
    <mergeCell ref="E11:F11"/>
    <mergeCell ref="G11:H11"/>
    <mergeCell ref="I11:J11"/>
    <mergeCell ref="E5:J5"/>
    <mergeCell ref="E12:F12"/>
    <mergeCell ref="G12:H12"/>
    <mergeCell ref="I12:J12"/>
    <mergeCell ref="B12:C12"/>
  </mergeCells>
  <conditionalFormatting sqref="AR9">
    <cfRule type="cellIs" priority="9" dxfId="8" operator="equal" stopIfTrue="1">
      <formula>"nee"</formula>
    </cfRule>
  </conditionalFormatting>
  <conditionalFormatting sqref="AH15:AT15">
    <cfRule type="cellIs" priority="6" dxfId="21" operator="equal" stopIfTrue="1">
      <formula>"een miljonair kwam langs en gaf je 100 euro"</formula>
    </cfRule>
    <cfRule type="cellIs" priority="7" dxfId="21" operator="equal" stopIfTrue="1">
      <formula>"je kar is verdronken 200 euro schade"</formula>
    </cfRule>
    <cfRule type="cellIs" priority="8" dxfId="21" operator="equal" stopIfTrue="1">
      <formula>"een oorkaan kwam langs 200 euro schade"</formula>
    </cfRule>
  </conditionalFormatting>
  <conditionalFormatting sqref="AH9:AK9">
    <cfRule type="cellIs" priority="3" dxfId="21" operator="equal" stopIfTrue="1">
      <formula>"25 euro opslag"</formula>
    </cfRule>
    <cfRule type="cellIs" priority="4" dxfId="21" operator="equal" stopIfTrue="1">
      <formula>"je bent klaar"</formula>
    </cfRule>
    <cfRule type="cellIs" priority="5" dxfId="21" operator="equal" stopIfTrue="1">
      <formula>"laatste ronde"</formula>
    </cfRule>
  </conditionalFormatting>
  <conditionalFormatting sqref="X6:AC6">
    <cfRule type="cellIs" priority="1" dxfId="1" operator="equal" stopIfTrue="1">
      <formula>"nee"</formula>
    </cfRule>
    <cfRule type="cellIs" priority="2" dxfId="0" operator="equal" stopIfTrue="1">
      <formula>"ja"</formula>
    </cfRule>
  </conditionalFormatting>
  <printOptions/>
  <pageMargins left="0.7" right="0.7" top="0.75" bottom="0.75" header="0.3" footer="0.3"/>
  <pageSetup orientation="portrait" paperSize="9"/>
  <ignoredErrors>
    <ignoredError sqref="L17:W24 M16:W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"/>
  <sheetViews>
    <sheetView tabSelected="1" zoomScalePageLayoutView="0" workbookViewId="0" topLeftCell="A1">
      <pane xSplit="30" ySplit="30" topLeftCell="AE31" activePane="bottomRight" state="frozen"/>
      <selection pane="topLeft" activeCell="A1" sqref="A1"/>
      <selection pane="topRight" activeCell="AE1" sqref="AE1"/>
      <selection pane="bottomLeft" activeCell="A31" sqref="A31"/>
      <selection pane="bottomRight" activeCell="G6" sqref="G6:H6"/>
    </sheetView>
  </sheetViews>
  <sheetFormatPr defaultColWidth="0" defaultRowHeight="0" customHeight="1" zeroHeight="1"/>
  <cols>
    <col min="1" max="30" width="3.7109375" style="0" customWidth="1"/>
    <col min="31" max="31" width="0.13671875" style="0" customWidth="1"/>
    <col min="32" max="16384" width="3.7109375" style="0" hidden="1" customWidth="1"/>
  </cols>
  <sheetData>
    <row r="1" spans="1:31" ht="1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 thickBot="1">
      <c r="A2" s="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157" t="s">
        <v>0</v>
      </c>
      <c r="S2" s="158"/>
      <c r="T2" s="158"/>
      <c r="U2" s="159"/>
      <c r="V2" s="157" t="s">
        <v>1</v>
      </c>
      <c r="W2" s="158"/>
      <c r="X2" s="158"/>
      <c r="Y2" s="159"/>
      <c r="Z2" s="157" t="s">
        <v>2</v>
      </c>
      <c r="AA2" s="158"/>
      <c r="AB2" s="158"/>
      <c r="AC2" s="159"/>
      <c r="AD2" s="19"/>
      <c r="AE2" s="9"/>
    </row>
    <row r="3" spans="1:31" ht="15" customHeight="1" thickBot="1">
      <c r="A3" s="9"/>
      <c r="B3" s="5"/>
      <c r="C3" s="160" t="s">
        <v>3</v>
      </c>
      <c r="D3" s="161"/>
      <c r="E3" s="161"/>
      <c r="F3" s="162"/>
      <c r="G3" s="142" t="s">
        <v>4</v>
      </c>
      <c r="H3" s="163"/>
      <c r="I3" s="129" t="s">
        <v>5</v>
      </c>
      <c r="J3" s="132"/>
      <c r="K3" s="133"/>
      <c r="L3" s="4"/>
      <c r="M3" s="164">
        <v>25</v>
      </c>
      <c r="N3" s="165"/>
      <c r="O3" s="166"/>
      <c r="P3" s="7"/>
      <c r="Q3" s="8"/>
      <c r="R3" s="167" t="str">
        <f>' '!L19</f>
        <v>vandaag is</v>
      </c>
      <c r="S3" s="168"/>
      <c r="T3" s="168"/>
      <c r="U3" s="168"/>
      <c r="V3" s="167" t="str">
        <f>' '!P19</f>
        <v>er is geen</v>
      </c>
      <c r="W3" s="168"/>
      <c r="X3" s="168"/>
      <c r="Y3" s="168"/>
      <c r="Z3" s="173" t="str">
        <f>' '!T19</f>
        <v>de ijsprijs is</v>
      </c>
      <c r="AA3" s="168"/>
      <c r="AB3" s="168"/>
      <c r="AC3" s="169"/>
      <c r="AD3" s="20"/>
      <c r="AE3" s="9"/>
    </row>
    <row r="4" spans="1:31" ht="15" customHeight="1" thickBot="1">
      <c r="A4" s="9"/>
      <c r="B4" s="5"/>
      <c r="C4" s="136" t="s">
        <v>6</v>
      </c>
      <c r="D4" s="137"/>
      <c r="E4" s="137"/>
      <c r="F4" s="137"/>
      <c r="G4" s="174">
        <v>1</v>
      </c>
      <c r="H4" s="175"/>
      <c r="I4" s="151"/>
      <c r="J4" s="151"/>
      <c r="K4" s="151"/>
      <c r="L4" s="4"/>
      <c r="M4" s="9"/>
      <c r="N4" s="9"/>
      <c r="O4" s="9"/>
      <c r="P4" s="10"/>
      <c r="Q4" s="8"/>
      <c r="R4" s="122" t="str">
        <f>' '!L20</f>
        <v>het tamelijk</v>
      </c>
      <c r="S4" s="120"/>
      <c r="T4" s="120"/>
      <c r="U4" s="120"/>
      <c r="V4" s="122" t="str">
        <f>' '!P20</f>
        <v>waarschuwing</v>
      </c>
      <c r="W4" s="120"/>
      <c r="X4" s="120"/>
      <c r="Y4" s="120"/>
      <c r="Z4" s="176" t="str">
        <f>' '!T20</f>
        <v>vandaag</v>
      </c>
      <c r="AA4" s="120"/>
      <c r="AB4" s="120"/>
      <c r="AC4" s="121"/>
      <c r="AD4" s="20"/>
      <c r="AE4" s="9"/>
    </row>
    <row r="5" spans="1:31" ht="15" customHeight="1" thickBot="1">
      <c r="A5" s="9"/>
      <c r="B5" s="5"/>
      <c r="C5" s="129" t="s">
        <v>7</v>
      </c>
      <c r="D5" s="132"/>
      <c r="E5" s="132"/>
      <c r="F5" s="132"/>
      <c r="G5" s="154">
        <v>0</v>
      </c>
      <c r="H5" s="155"/>
      <c r="I5" s="156"/>
      <c r="J5" s="156"/>
      <c r="K5" s="156"/>
      <c r="L5" s="8"/>
      <c r="M5" s="9"/>
      <c r="N5" s="9"/>
      <c r="O5" s="9"/>
      <c r="P5" s="10"/>
      <c r="Q5" s="11"/>
      <c r="R5" s="122" t="str">
        <f>' '!L21</f>
        <v>bewolkt</v>
      </c>
      <c r="S5" s="120"/>
      <c r="T5" s="120"/>
      <c r="U5" s="120"/>
      <c r="V5" s="122" t="str">
        <f>' '!P21</f>
        <v>voor vandaag</v>
      </c>
      <c r="W5" s="120"/>
      <c r="X5" s="120"/>
      <c r="Y5" s="120"/>
      <c r="Z5" s="176" t="str">
        <f>' '!T21</f>
        <v>erg laag</v>
      </c>
      <c r="AA5" s="120"/>
      <c r="AB5" s="120"/>
      <c r="AC5" s="121"/>
      <c r="AD5" s="20"/>
      <c r="AE5" s="9"/>
    </row>
    <row r="6" spans="1:31" ht="15" customHeight="1" thickBot="1">
      <c r="A6" s="9"/>
      <c r="B6" s="5"/>
      <c r="C6" s="136" t="s">
        <v>8</v>
      </c>
      <c r="D6" s="137"/>
      <c r="E6" s="137"/>
      <c r="F6" s="137"/>
      <c r="G6" s="138">
        <v>0</v>
      </c>
      <c r="H6" s="139"/>
      <c r="I6" s="140">
        <f>Z7</f>
        <v>0.39</v>
      </c>
      <c r="J6" s="140"/>
      <c r="K6" s="141"/>
      <c r="L6" s="8"/>
      <c r="M6" s="142"/>
      <c r="N6" s="142"/>
      <c r="O6" s="142"/>
      <c r="P6" s="7"/>
      <c r="Q6" s="8"/>
      <c r="R6" s="122" t="str">
        <f>' '!L22</f>
        <v>met windkracht</v>
      </c>
      <c r="S6" s="120"/>
      <c r="T6" s="120"/>
      <c r="U6" s="120"/>
      <c r="V6" s="122" t="str">
        <f>' '!P22</f>
        <v>of morgen</v>
      </c>
      <c r="W6" s="120"/>
      <c r="X6" s="120"/>
      <c r="Y6" s="120"/>
      <c r="Z6" s="176" t="str">
        <f>' '!T22</f>
        <v>namelijk</v>
      </c>
      <c r="AA6" s="120"/>
      <c r="AB6" s="120"/>
      <c r="AC6" s="121"/>
      <c r="AD6" s="20"/>
      <c r="AE6" s="9"/>
    </row>
    <row r="7" spans="1:31" ht="15" customHeight="1" thickBot="1">
      <c r="A7" s="9"/>
      <c r="B7" s="5"/>
      <c r="C7" s="147" t="s">
        <v>9</v>
      </c>
      <c r="D7" s="148"/>
      <c r="E7" s="148"/>
      <c r="F7" s="148"/>
      <c r="G7" s="149">
        <v>0</v>
      </c>
      <c r="H7" s="150"/>
      <c r="I7" s="151"/>
      <c r="J7" s="151"/>
      <c r="K7" s="151"/>
      <c r="L7" s="12"/>
      <c r="M7" s="142"/>
      <c r="N7" s="142"/>
      <c r="O7" s="142"/>
      <c r="P7" s="7"/>
      <c r="Q7" s="12"/>
      <c r="R7" s="122">
        <f>' '!L23</f>
        <v>19</v>
      </c>
      <c r="S7" s="120"/>
      <c r="T7" s="120"/>
      <c r="U7" s="120"/>
      <c r="V7" s="122" t="str">
        <f>' '!P23</f>
        <v>bekend</v>
      </c>
      <c r="W7" s="120"/>
      <c r="X7" s="120"/>
      <c r="Y7" s="120"/>
      <c r="Z7" s="152">
        <f>' '!T23</f>
        <v>0.39</v>
      </c>
      <c r="AA7" s="177"/>
      <c r="AB7" s="134" t="str">
        <f>' '!V23</f>
        <v>euro</v>
      </c>
      <c r="AC7" s="135"/>
      <c r="AD7" s="21"/>
      <c r="AE7" s="9"/>
    </row>
    <row r="8" spans="1:31" ht="15" customHeight="1" thickBot="1">
      <c r="A8" s="9"/>
      <c r="B8" s="5"/>
      <c r="C8" s="136" t="s">
        <v>11</v>
      </c>
      <c r="D8" s="137"/>
      <c r="E8" s="137"/>
      <c r="F8" s="143"/>
      <c r="G8" s="144">
        <v>0</v>
      </c>
      <c r="H8" s="145"/>
      <c r="I8" s="146">
        <v>5</v>
      </c>
      <c r="J8" s="140"/>
      <c r="K8" s="141"/>
      <c r="L8" s="4"/>
      <c r="M8" s="179"/>
      <c r="N8" s="142"/>
      <c r="O8" s="142"/>
      <c r="P8" s="7"/>
      <c r="Q8" s="13"/>
      <c r="R8" s="122" t="str">
        <f>' '!L24</f>
        <v> </v>
      </c>
      <c r="S8" s="120"/>
      <c r="T8" s="120"/>
      <c r="U8" s="120"/>
      <c r="V8" s="122" t="str">
        <f>' '!P24</f>
        <v> </v>
      </c>
      <c r="W8" s="120"/>
      <c r="X8" s="120"/>
      <c r="Y8" s="120"/>
      <c r="Z8" s="176" t="str">
        <f>' '!T24</f>
        <v>per stuk</v>
      </c>
      <c r="AA8" s="120"/>
      <c r="AB8" s="120"/>
      <c r="AC8" s="121"/>
      <c r="AD8" s="20"/>
      <c r="AE8" s="9"/>
    </row>
    <row r="9" spans="1:31" ht="15" customHeight="1" thickBot="1">
      <c r="A9" s="9"/>
      <c r="B9" s="5"/>
      <c r="C9" s="180" t="str">
        <f>' '!AR24</f>
        <v>je heb 10 dagen om zoveel mogelijk geld te verdienen</v>
      </c>
      <c r="D9" s="181"/>
      <c r="E9" s="181"/>
      <c r="F9" s="181"/>
      <c r="G9" s="182"/>
      <c r="H9" s="182"/>
      <c r="I9" s="181"/>
      <c r="J9" s="181"/>
      <c r="K9" s="181"/>
      <c r="L9" s="181"/>
      <c r="M9" s="183"/>
      <c r="N9" s="183"/>
      <c r="O9" s="184"/>
      <c r="P9" s="7"/>
      <c r="Q9" s="4"/>
      <c r="R9" s="122" t="str">
        <f>' '!L25</f>
        <v> </v>
      </c>
      <c r="S9" s="120"/>
      <c r="T9" s="120"/>
      <c r="U9" s="120"/>
      <c r="V9" s="122" t="str">
        <f>' '!P25</f>
        <v> </v>
      </c>
      <c r="W9" s="120"/>
      <c r="X9" s="120"/>
      <c r="Y9" s="120"/>
      <c r="Z9" s="176" t="str">
        <f>' '!T25</f>
        <v> </v>
      </c>
      <c r="AA9" s="120"/>
      <c r="AB9" s="120"/>
      <c r="AC9" s="121"/>
      <c r="AD9" s="20"/>
      <c r="AE9" s="9"/>
    </row>
    <row r="10" spans="1:31" ht="15" customHeight="1" thickBot="1">
      <c r="A10" s="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6"/>
      <c r="N10" s="6"/>
      <c r="O10" s="15"/>
      <c r="P10" s="16"/>
      <c r="Q10" s="4"/>
      <c r="R10" s="125" t="str">
        <f>' '!L26</f>
        <v> </v>
      </c>
      <c r="S10" s="126"/>
      <c r="T10" s="126"/>
      <c r="U10" s="126"/>
      <c r="V10" s="125" t="str">
        <f>' '!P26</f>
        <v> </v>
      </c>
      <c r="W10" s="126"/>
      <c r="X10" s="126"/>
      <c r="Y10" s="126"/>
      <c r="Z10" s="178" t="str">
        <f>' '!T26</f>
        <v> </v>
      </c>
      <c r="AA10" s="126"/>
      <c r="AB10" s="126"/>
      <c r="AC10" s="127"/>
      <c r="AD10" s="20"/>
      <c r="AE10" s="9"/>
    </row>
    <row r="11" spans="1:31" ht="15" customHeight="1" thickBo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" customHeight="1" thickBo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12" t="s">
        <v>13</v>
      </c>
      <c r="S12" s="113"/>
      <c r="T12" s="113"/>
      <c r="U12" s="114"/>
      <c r="V12" s="112" t="s">
        <v>13</v>
      </c>
      <c r="W12" s="113"/>
      <c r="X12" s="113"/>
      <c r="Y12" s="114"/>
      <c r="Z12" s="118"/>
      <c r="AA12" s="118"/>
      <c r="AB12" s="118"/>
      <c r="AC12" s="118"/>
      <c r="AD12" s="17"/>
      <c r="AE12" s="9"/>
    </row>
    <row r="13" spans="1:3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15" t="s">
        <v>14</v>
      </c>
      <c r="S13" s="116"/>
      <c r="T13" s="116"/>
      <c r="U13" s="116"/>
      <c r="V13" s="115" t="s">
        <v>15</v>
      </c>
      <c r="W13" s="116"/>
      <c r="X13" s="116"/>
      <c r="Y13" s="117"/>
      <c r="Z13" s="118"/>
      <c r="AA13" s="118"/>
      <c r="AB13" s="118"/>
      <c r="AC13" s="118"/>
      <c r="AD13" s="17"/>
      <c r="AE13" s="9"/>
    </row>
    <row r="14" spans="1:31" ht="15" customHeight="1" thickBo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23" t="s">
        <v>16</v>
      </c>
      <c r="S14" s="124"/>
      <c r="T14" s="124"/>
      <c r="U14" s="124"/>
      <c r="V14" s="109" t="s">
        <v>17</v>
      </c>
      <c r="W14" s="110"/>
      <c r="X14" s="110"/>
      <c r="Y14" s="111"/>
      <c r="Z14" s="9"/>
      <c r="AA14" s="9"/>
      <c r="AB14" s="9"/>
      <c r="AC14" s="9"/>
      <c r="AD14" s="9"/>
      <c r="AE14" s="9"/>
    </row>
    <row r="15" spans="1:31" ht="15" customHeight="1" thickBo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09" t="s">
        <v>18</v>
      </c>
      <c r="S15" s="110"/>
      <c r="T15" s="110"/>
      <c r="U15" s="111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customHeight="1" hidden="1">
      <c r="A28" s="9"/>
      <c r="B28" s="9"/>
      <c r="C28" s="9"/>
      <c r="D28" s="26" t="s">
        <v>25</v>
      </c>
      <c r="E28" s="26" t="s">
        <v>8</v>
      </c>
      <c r="F28" s="26" t="s">
        <v>9</v>
      </c>
      <c r="G28" s="46" t="s">
        <v>11</v>
      </c>
      <c r="H28" s="9" t="s">
        <v>4</v>
      </c>
      <c r="I28" s="9"/>
      <c r="J28" s="9"/>
      <c r="K28" s="43" t="s">
        <v>20</v>
      </c>
      <c r="L28" s="43" t="s">
        <v>21</v>
      </c>
      <c r="M28" s="43" t="s">
        <v>19</v>
      </c>
      <c r="N28" s="43" t="s">
        <v>22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" customHeight="1" hidden="1">
      <c r="A29" s="9"/>
      <c r="B29" s="23">
        <f>G4</f>
        <v>1</v>
      </c>
      <c r="C29" s="18">
        <f>M3</f>
        <v>25</v>
      </c>
      <c r="D29" s="22">
        <f>G5</f>
        <v>0</v>
      </c>
      <c r="E29" s="22">
        <f>G6</f>
        <v>0</v>
      </c>
      <c r="F29" s="24">
        <f>G7</f>
        <v>0</v>
      </c>
      <c r="G29" s="22">
        <f>G8</f>
        <v>0</v>
      </c>
      <c r="H29" s="9"/>
      <c r="I29" s="9"/>
      <c r="J29" s="41"/>
      <c r="K29" s="9">
        <v>40</v>
      </c>
      <c r="L29" s="9">
        <f>((K30/100)*plus)+K30</f>
        <v>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" customHeight="1" hidden="1">
      <c r="A30" s="9"/>
      <c r="B30" s="23">
        <f>G4</f>
        <v>1</v>
      </c>
      <c r="C30" s="18"/>
      <c r="D30" s="22"/>
      <c r="E30" s="22"/>
      <c r="F30" s="24"/>
      <c r="G30" s="22"/>
      <c r="H30" s="9"/>
      <c r="I30" s="9"/>
      <c r="J30" s="9">
        <v>25</v>
      </c>
      <c r="K30" s="42">
        <f>IF(G6&lt;K29,G6,((G6/100)*(90+plus)))</f>
        <v>0</v>
      </c>
      <c r="L30" s="53">
        <f>Z7+0.2</f>
        <v>0.5900000000000001</v>
      </c>
      <c r="M30" s="9">
        <f>IF(G7&gt;L30,(L30-(G7/100)*90),G7)</f>
        <v>0</v>
      </c>
      <c r="N30" s="9">
        <f>((M30*K30)+J30-(G8*I8))+' '!BA29</f>
        <v>25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</sheetData>
  <sheetProtection password="E72E" sheet="1" objects="1" scenarios="1" selectLockedCells="1"/>
  <mergeCells count="60">
    <mergeCell ref="V9:Y9"/>
    <mergeCell ref="Z9:AC9"/>
    <mergeCell ref="R14:U14"/>
    <mergeCell ref="V14:Y14"/>
    <mergeCell ref="R15:U15"/>
    <mergeCell ref="R12:U12"/>
    <mergeCell ref="V12:Y12"/>
    <mergeCell ref="Z12:AC12"/>
    <mergeCell ref="R13:U13"/>
    <mergeCell ref="V13:Y13"/>
    <mergeCell ref="Z13:AC13"/>
    <mergeCell ref="V7:Y7"/>
    <mergeCell ref="Z7:AA7"/>
    <mergeCell ref="AB7:AC7"/>
    <mergeCell ref="C6:F6"/>
    <mergeCell ref="R10:U10"/>
    <mergeCell ref="V10:Y10"/>
    <mergeCell ref="Z10:AC10"/>
    <mergeCell ref="C8:F8"/>
    <mergeCell ref="G8:H8"/>
    <mergeCell ref="I8:K8"/>
    <mergeCell ref="M8:O8"/>
    <mergeCell ref="R8:U8"/>
    <mergeCell ref="Z8:AC8"/>
    <mergeCell ref="V8:Y8"/>
    <mergeCell ref="C9:O9"/>
    <mergeCell ref="R9:U9"/>
    <mergeCell ref="C7:F7"/>
    <mergeCell ref="G7:H7"/>
    <mergeCell ref="I7:K7"/>
    <mergeCell ref="M7:O7"/>
    <mergeCell ref="R7:U7"/>
    <mergeCell ref="Z4:AC4"/>
    <mergeCell ref="G6:H6"/>
    <mergeCell ref="I6:K6"/>
    <mergeCell ref="M6:O6"/>
    <mergeCell ref="R6:U6"/>
    <mergeCell ref="V6:Y6"/>
    <mergeCell ref="Z5:AC5"/>
    <mergeCell ref="Z6:AC6"/>
    <mergeCell ref="C4:F4"/>
    <mergeCell ref="G4:H4"/>
    <mergeCell ref="I4:K4"/>
    <mergeCell ref="R4:U4"/>
    <mergeCell ref="V4:Y4"/>
    <mergeCell ref="C5:F5"/>
    <mergeCell ref="G5:H5"/>
    <mergeCell ref="I5:K5"/>
    <mergeCell ref="R5:U5"/>
    <mergeCell ref="V5:Y5"/>
    <mergeCell ref="Z2:AC2"/>
    <mergeCell ref="C3:F3"/>
    <mergeCell ref="G3:H3"/>
    <mergeCell ref="I3:K3"/>
    <mergeCell ref="M3:O3"/>
    <mergeCell ref="R3:U3"/>
    <mergeCell ref="V3:Y3"/>
    <mergeCell ref="Z3:AC3"/>
    <mergeCell ref="R2:U2"/>
    <mergeCell ref="V2:Y2"/>
  </mergeCells>
  <conditionalFormatting sqref="C9:O9">
    <cfRule type="cellIs" priority="1" dxfId="19" operator="equal" stopIfTrue="1">
      <formula>" "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G5" sqref="G5:H5"/>
    </sheetView>
  </sheetViews>
  <sheetFormatPr defaultColWidth="0" defaultRowHeight="0" customHeight="1" zeroHeight="1"/>
  <cols>
    <col min="1" max="30" width="3.7109375" style="0" customWidth="1"/>
    <col min="31" max="31" width="0.13671875" style="0" customWidth="1"/>
    <col min="32" max="16384" width="3.7109375" style="0" hidden="1" customWidth="1"/>
  </cols>
  <sheetData>
    <row r="1" spans="1:31" ht="1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 thickBot="1">
      <c r="A2" s="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157" t="s">
        <v>0</v>
      </c>
      <c r="S2" s="158"/>
      <c r="T2" s="158"/>
      <c r="U2" s="159"/>
      <c r="V2" s="157" t="s">
        <v>1</v>
      </c>
      <c r="W2" s="158"/>
      <c r="X2" s="158"/>
      <c r="Y2" s="159"/>
      <c r="Z2" s="157" t="s">
        <v>2</v>
      </c>
      <c r="AA2" s="158"/>
      <c r="AB2" s="158"/>
      <c r="AC2" s="159"/>
      <c r="AD2" s="19"/>
      <c r="AE2" s="9"/>
    </row>
    <row r="3" spans="1:31" ht="15" customHeight="1" thickBot="1">
      <c r="A3" s="9"/>
      <c r="B3" s="5"/>
      <c r="C3" s="185"/>
      <c r="D3" s="185"/>
      <c r="E3" s="185"/>
      <c r="F3" s="185"/>
      <c r="G3" s="142" t="s">
        <v>4</v>
      </c>
      <c r="H3" s="163"/>
      <c r="I3" s="129" t="s">
        <v>5</v>
      </c>
      <c r="J3" s="132"/>
      <c r="K3" s="133"/>
      <c r="L3" s="4"/>
      <c r="M3" s="164">
        <f>IF('[1] '!$O$10=100,1!N30+100,IF('[1] '!$O$10=200,1!N30-200,1!N30))</f>
        <v>25</v>
      </c>
      <c r="N3" s="165"/>
      <c r="O3" s="166"/>
      <c r="P3" s="7"/>
      <c r="Q3" s="8"/>
      <c r="R3" s="167" t="str">
        <f>1!R3:U3</f>
        <v>vandaag is</v>
      </c>
      <c r="S3" s="168"/>
      <c r="T3" s="168"/>
      <c r="U3" s="168"/>
      <c r="V3" s="167" t="str">
        <f>1!V3:Y3</f>
        <v>er is geen</v>
      </c>
      <c r="W3" s="168"/>
      <c r="X3" s="168"/>
      <c r="Y3" s="169"/>
      <c r="Z3" s="170" t="str">
        <f>1!Z3:AC3</f>
        <v>de ijsprijs is</v>
      </c>
      <c r="AA3" s="168"/>
      <c r="AB3" s="168"/>
      <c r="AC3" s="169"/>
      <c r="AD3" s="20"/>
      <c r="AE3" s="9"/>
    </row>
    <row r="4" spans="1:31" ht="15" customHeight="1" thickBot="1">
      <c r="A4" s="9"/>
      <c r="B4" s="5"/>
      <c r="C4" s="136" t="s">
        <v>6</v>
      </c>
      <c r="D4" s="137"/>
      <c r="E4" s="137"/>
      <c r="F4" s="143"/>
      <c r="G4" s="174">
        <v>2</v>
      </c>
      <c r="H4" s="175"/>
      <c r="I4" s="151"/>
      <c r="J4" s="151"/>
      <c r="K4" s="151"/>
      <c r="L4" s="4"/>
      <c r="M4" s="9"/>
      <c r="N4" s="9"/>
      <c r="O4" s="9"/>
      <c r="P4" s="10"/>
      <c r="Q4" s="8"/>
      <c r="R4" s="122" t="str">
        <f>1!R4:U4</f>
        <v>het tamelijk</v>
      </c>
      <c r="S4" s="120"/>
      <c r="T4" s="120"/>
      <c r="U4" s="120"/>
      <c r="V4" s="122" t="str">
        <f>1!V4:Y4</f>
        <v>waarschuwing</v>
      </c>
      <c r="W4" s="120"/>
      <c r="X4" s="120"/>
      <c r="Y4" s="121"/>
      <c r="Z4" s="119" t="str">
        <f>1!Z4:AC4</f>
        <v>vandaag</v>
      </c>
      <c r="AA4" s="120"/>
      <c r="AB4" s="120"/>
      <c r="AC4" s="121"/>
      <c r="AD4" s="20"/>
      <c r="AE4" s="9"/>
    </row>
    <row r="5" spans="1:31" ht="15" customHeight="1" thickBot="1">
      <c r="A5" s="9"/>
      <c r="B5" s="5"/>
      <c r="C5" s="129" t="s">
        <v>7</v>
      </c>
      <c r="D5" s="132"/>
      <c r="E5" s="132"/>
      <c r="F5" s="132"/>
      <c r="G5" s="154">
        <v>0</v>
      </c>
      <c r="H5" s="155"/>
      <c r="I5" s="156"/>
      <c r="J5" s="156"/>
      <c r="K5" s="156"/>
      <c r="L5" s="8"/>
      <c r="M5" s="9"/>
      <c r="N5" s="9"/>
      <c r="O5" s="9"/>
      <c r="P5" s="10"/>
      <c r="Q5" s="11"/>
      <c r="R5" s="122" t="str">
        <f>1!R5:U5</f>
        <v>bewolkt</v>
      </c>
      <c r="S5" s="120"/>
      <c r="T5" s="120"/>
      <c r="U5" s="120"/>
      <c r="V5" s="122" t="str">
        <f>1!V5:Y5</f>
        <v>voor vandaag</v>
      </c>
      <c r="W5" s="120"/>
      <c r="X5" s="120"/>
      <c r="Y5" s="121"/>
      <c r="Z5" s="119" t="str">
        <f>1!Z5:AC5</f>
        <v>erg laag</v>
      </c>
      <c r="AA5" s="120"/>
      <c r="AB5" s="120"/>
      <c r="AC5" s="121"/>
      <c r="AD5" s="20"/>
      <c r="AE5" s="9"/>
    </row>
    <row r="6" spans="1:31" ht="15" customHeight="1" thickBot="1">
      <c r="A6" s="9"/>
      <c r="B6" s="5"/>
      <c r="C6" s="136" t="s">
        <v>8</v>
      </c>
      <c r="D6" s="137"/>
      <c r="E6" s="137"/>
      <c r="F6" s="137"/>
      <c r="G6" s="138">
        <v>0</v>
      </c>
      <c r="H6" s="139"/>
      <c r="I6" s="140">
        <f>1!I6</f>
        <v>0.39</v>
      </c>
      <c r="J6" s="140"/>
      <c r="K6" s="141"/>
      <c r="L6" s="8"/>
      <c r="M6" s="142"/>
      <c r="N6" s="142"/>
      <c r="O6" s="142"/>
      <c r="P6" s="7"/>
      <c r="Q6" s="8"/>
      <c r="R6" s="122" t="str">
        <f>1!R6:U6</f>
        <v>met windkracht</v>
      </c>
      <c r="S6" s="120"/>
      <c r="T6" s="120"/>
      <c r="U6" s="120"/>
      <c r="V6" s="122" t="str">
        <f>1!V6:Y6</f>
        <v>of morgen</v>
      </c>
      <c r="W6" s="120"/>
      <c r="X6" s="120"/>
      <c r="Y6" s="121"/>
      <c r="Z6" s="119" t="str">
        <f>1!Z6:AC6</f>
        <v>namelijk</v>
      </c>
      <c r="AA6" s="120"/>
      <c r="AB6" s="120"/>
      <c r="AC6" s="121"/>
      <c r="AD6" s="20"/>
      <c r="AE6" s="9"/>
    </row>
    <row r="7" spans="1:31" ht="15" customHeight="1" thickBot="1">
      <c r="A7" s="9"/>
      <c r="B7" s="5"/>
      <c r="C7" s="147" t="s">
        <v>9</v>
      </c>
      <c r="D7" s="148"/>
      <c r="E7" s="148"/>
      <c r="F7" s="148"/>
      <c r="G7" s="149">
        <v>0</v>
      </c>
      <c r="H7" s="150"/>
      <c r="I7" s="151"/>
      <c r="J7" s="151"/>
      <c r="K7" s="151"/>
      <c r="L7" s="12"/>
      <c r="M7" s="142"/>
      <c r="N7" s="142"/>
      <c r="O7" s="142"/>
      <c r="P7" s="7"/>
      <c r="Q7" s="12"/>
      <c r="R7" s="122">
        <f>1!R7:U7</f>
        <v>19</v>
      </c>
      <c r="S7" s="120"/>
      <c r="T7" s="120"/>
      <c r="U7" s="120"/>
      <c r="V7" s="122" t="str">
        <f>1!V7:Y7</f>
        <v>bekend</v>
      </c>
      <c r="W7" s="120"/>
      <c r="X7" s="120"/>
      <c r="Y7" s="121"/>
      <c r="Z7" s="177">
        <f>1!I6</f>
        <v>0.39</v>
      </c>
      <c r="AA7" s="177"/>
      <c r="AB7" s="134" t="s">
        <v>10</v>
      </c>
      <c r="AC7" s="135"/>
      <c r="AD7" s="21"/>
      <c r="AE7" s="9"/>
    </row>
    <row r="8" spans="1:31" ht="15" customHeight="1" thickBot="1">
      <c r="A8" s="9"/>
      <c r="B8" s="5"/>
      <c r="C8" s="136" t="s">
        <v>11</v>
      </c>
      <c r="D8" s="137"/>
      <c r="E8" s="137"/>
      <c r="F8" s="143"/>
      <c r="G8" s="144">
        <v>0</v>
      </c>
      <c r="H8" s="145"/>
      <c r="I8" s="146">
        <f>1!I8</f>
        <v>5</v>
      </c>
      <c r="J8" s="140"/>
      <c r="K8" s="141"/>
      <c r="L8" s="4"/>
      <c r="M8" s="142"/>
      <c r="N8" s="142"/>
      <c r="O8" s="142"/>
      <c r="P8" s="7"/>
      <c r="Q8" s="13"/>
      <c r="R8" s="122" t="str">
        <f>1!R8:U8</f>
        <v> </v>
      </c>
      <c r="S8" s="120"/>
      <c r="T8" s="120"/>
      <c r="U8" s="120"/>
      <c r="V8" s="122" t="str">
        <f>1!V8:Y8</f>
        <v> </v>
      </c>
      <c r="W8" s="120"/>
      <c r="X8" s="120"/>
      <c r="Y8" s="121"/>
      <c r="Z8" s="119" t="str">
        <f>1!Z8:AC8</f>
        <v>per stuk</v>
      </c>
      <c r="AA8" s="120"/>
      <c r="AB8" s="120"/>
      <c r="AC8" s="121"/>
      <c r="AD8" s="20"/>
      <c r="AE8" s="9"/>
    </row>
    <row r="9" spans="1:31" ht="15" customHeight="1" thickBot="1">
      <c r="A9" s="9"/>
      <c r="B9" s="5"/>
      <c r="C9" s="180" t="str">
        <f>' '!AX29</f>
        <v> </v>
      </c>
      <c r="D9" s="181"/>
      <c r="E9" s="181"/>
      <c r="F9" s="181"/>
      <c r="G9" s="182"/>
      <c r="H9" s="182"/>
      <c r="I9" s="181"/>
      <c r="J9" s="181"/>
      <c r="K9" s="181"/>
      <c r="L9" s="181"/>
      <c r="M9" s="183"/>
      <c r="N9" s="183"/>
      <c r="O9" s="184"/>
      <c r="P9" s="7"/>
      <c r="Q9" s="4"/>
      <c r="R9" s="122" t="str">
        <f>1!R9:U9</f>
        <v> </v>
      </c>
      <c r="S9" s="120"/>
      <c r="T9" s="120"/>
      <c r="U9" s="120"/>
      <c r="V9" s="122" t="str">
        <f>1!V9:Y9</f>
        <v> </v>
      </c>
      <c r="W9" s="120"/>
      <c r="X9" s="120"/>
      <c r="Y9" s="121"/>
      <c r="Z9" s="119" t="str">
        <f>1!Z9:AC9</f>
        <v> </v>
      </c>
      <c r="AA9" s="120"/>
      <c r="AB9" s="120"/>
      <c r="AC9" s="121"/>
      <c r="AD9" s="20"/>
      <c r="AE9" s="9"/>
    </row>
    <row r="10" spans="1:31" ht="15" customHeight="1" thickBot="1">
      <c r="A10" s="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6"/>
      <c r="N10" s="6"/>
      <c r="O10" s="15"/>
      <c r="P10" s="16"/>
      <c r="Q10" s="4"/>
      <c r="R10" s="125" t="str">
        <f>1!R10:U10</f>
        <v> </v>
      </c>
      <c r="S10" s="126"/>
      <c r="T10" s="126"/>
      <c r="U10" s="126"/>
      <c r="V10" s="125" t="str">
        <f>1!V10:Y10</f>
        <v> </v>
      </c>
      <c r="W10" s="126"/>
      <c r="X10" s="126"/>
      <c r="Y10" s="127"/>
      <c r="Z10" s="128" t="str">
        <f>1!Z10:AC10</f>
        <v> </v>
      </c>
      <c r="AA10" s="126"/>
      <c r="AB10" s="126"/>
      <c r="AC10" s="127"/>
      <c r="AD10" s="20"/>
      <c r="AE10" s="9"/>
    </row>
    <row r="11" spans="1:3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8"/>
      <c r="AA12" s="118"/>
      <c r="AB12" s="118"/>
      <c r="AC12" s="118"/>
      <c r="AD12" s="17"/>
      <c r="AE12" s="9"/>
    </row>
    <row r="13" spans="1:3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18"/>
      <c r="AA13" s="118"/>
      <c r="AB13" s="118"/>
      <c r="AC13" s="118"/>
      <c r="AD13" s="17"/>
      <c r="AE13" s="9"/>
    </row>
    <row r="14" spans="1:31" ht="15" customHeight="1">
      <c r="A14" s="9"/>
      <c r="B14" s="9"/>
      <c r="C14" s="25"/>
      <c r="D14" s="25"/>
      <c r="E14" s="25"/>
      <c r="F14" s="25"/>
      <c r="G14" s="25"/>
      <c r="H14" s="25"/>
      <c r="I14" s="25"/>
      <c r="J14" s="2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5" customHeight="1">
      <c r="A15" s="9"/>
      <c r="B15" s="9"/>
      <c r="C15" s="25"/>
      <c r="D15" s="25"/>
      <c r="E15" s="25"/>
      <c r="F15" s="25"/>
      <c r="G15" s="25"/>
      <c r="H15" s="25"/>
      <c r="I15" s="25"/>
      <c r="J15" s="2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>
      <c r="A16" s="9"/>
      <c r="B16" s="9"/>
      <c r="C16" s="25"/>
      <c r="D16" s="25"/>
      <c r="E16" s="25"/>
      <c r="F16" s="25"/>
      <c r="G16" s="25"/>
      <c r="H16" s="25"/>
      <c r="I16" s="25"/>
      <c r="J16" s="2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>
      <c r="A17" s="9"/>
      <c r="B17" s="9"/>
      <c r="C17" s="25"/>
      <c r="D17" s="25"/>
      <c r="E17" s="25"/>
      <c r="F17" s="25"/>
      <c r="G17" s="25"/>
      <c r="H17" s="25"/>
      <c r="I17" s="25"/>
      <c r="J17" s="2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>
      <c r="A18" s="9"/>
      <c r="B18" s="9"/>
      <c r="C18" s="25"/>
      <c r="D18" s="25"/>
      <c r="E18" s="25"/>
      <c r="F18" s="25"/>
      <c r="G18" s="25"/>
      <c r="H18" s="25"/>
      <c r="I18" s="25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>
      <c r="A19" s="9"/>
      <c r="B19" s="9"/>
      <c r="C19" s="25"/>
      <c r="D19" s="25"/>
      <c r="E19" s="25"/>
      <c r="F19" s="25"/>
      <c r="G19" s="25"/>
      <c r="H19" s="25"/>
      <c r="I19" s="25"/>
      <c r="J19" s="2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 customHeight="1">
      <c r="A20" s="9"/>
      <c r="B20" s="9"/>
      <c r="C20" s="25"/>
      <c r="D20" s="25"/>
      <c r="E20" s="25"/>
      <c r="F20" s="25"/>
      <c r="G20" s="25"/>
      <c r="H20" s="25"/>
      <c r="I20" s="25"/>
      <c r="J20" s="2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 customHeight="1">
      <c r="A21" s="9"/>
      <c r="B21" s="9"/>
      <c r="C21" s="25"/>
      <c r="D21" s="25"/>
      <c r="E21" s="25"/>
      <c r="F21" s="25"/>
      <c r="G21" s="25"/>
      <c r="H21" s="25"/>
      <c r="I21" s="25"/>
      <c r="J21" s="2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" customHeight="1">
      <c r="A22" s="9"/>
      <c r="B22" s="9"/>
      <c r="C22" s="25"/>
      <c r="D22" s="25"/>
      <c r="E22" s="25"/>
      <c r="F22" s="25"/>
      <c r="G22" s="25"/>
      <c r="H22" s="25"/>
      <c r="I22" s="25"/>
      <c r="J22" s="2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>
      <c r="A23" s="9"/>
      <c r="B23" s="9"/>
      <c r="C23" s="25"/>
      <c r="D23" s="25"/>
      <c r="E23" s="25"/>
      <c r="F23" s="25"/>
      <c r="G23" s="25"/>
      <c r="H23" s="25"/>
      <c r="I23" s="25"/>
      <c r="J23" s="2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>
      <c r="A24" s="9"/>
      <c r="B24" s="9"/>
      <c r="C24" s="25"/>
      <c r="D24" s="25"/>
      <c r="E24" s="25"/>
      <c r="F24" s="25"/>
      <c r="G24" s="25"/>
      <c r="H24" s="25"/>
      <c r="I24" s="25"/>
      <c r="J24" s="2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>
      <c r="A25" s="9"/>
      <c r="B25" s="9"/>
      <c r="C25" s="25"/>
      <c r="D25" s="25"/>
      <c r="E25" s="25"/>
      <c r="F25" s="25"/>
      <c r="G25" s="25"/>
      <c r="H25" s="25"/>
      <c r="I25" s="25"/>
      <c r="J25" s="2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 customHeight="1">
      <c r="A26" s="9"/>
      <c r="B26" s="9"/>
      <c r="C26" s="25"/>
      <c r="D26" s="25"/>
      <c r="E26" s="25"/>
      <c r="F26" s="25"/>
      <c r="G26" s="25"/>
      <c r="H26" s="25"/>
      <c r="I26" s="25"/>
      <c r="J26" s="2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customHeight="1">
      <c r="A27" s="9"/>
      <c r="B27" s="9"/>
      <c r="C27" s="25"/>
      <c r="D27" s="25"/>
      <c r="E27" s="25"/>
      <c r="F27" s="25"/>
      <c r="G27" s="25"/>
      <c r="H27" s="25"/>
      <c r="I27" s="25"/>
      <c r="J27" s="2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customHeight="1" hidden="1">
      <c r="A28" s="9"/>
      <c r="B28" s="9"/>
      <c r="C28" s="26"/>
      <c r="D28" s="26" t="s">
        <v>25</v>
      </c>
      <c r="E28" s="26" t="s">
        <v>8</v>
      </c>
      <c r="F28" s="26" t="s">
        <v>9</v>
      </c>
      <c r="G28" s="46" t="s">
        <v>11</v>
      </c>
      <c r="H28" s="26" t="s">
        <v>4</v>
      </c>
      <c r="I28" s="25"/>
      <c r="J28" s="9"/>
      <c r="K28" s="43" t="s">
        <v>20</v>
      </c>
      <c r="L28" s="43" t="s">
        <v>21</v>
      </c>
      <c r="M28" s="43" t="s">
        <v>19</v>
      </c>
      <c r="N28" s="43" t="s">
        <v>22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" customHeight="1" hidden="1">
      <c r="A29" s="9"/>
      <c r="B29" s="23">
        <f>IF(G5=0,1!B29,G4)</f>
        <v>1</v>
      </c>
      <c r="C29" s="18"/>
      <c r="D29" s="22">
        <f>IF(G5=0,1!G5,G5)</f>
        <v>0</v>
      </c>
      <c r="E29" s="22">
        <f>IF(G6=0,1!G6,G6)</f>
        <v>0</v>
      </c>
      <c r="F29" s="24">
        <f>IF(G7=0,1!G7,G7)</f>
        <v>0</v>
      </c>
      <c r="G29" s="22">
        <f>IF(G8=0,1!G8,G8)</f>
        <v>0</v>
      </c>
      <c r="H29" s="9"/>
      <c r="I29" s="9"/>
      <c r="J29" s="41"/>
      <c r="K29" s="9">
        <v>70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" customHeight="1" hidden="1">
      <c r="A30" s="9"/>
      <c r="B30" s="23">
        <f>IF(G5&gt;0,G4,1!B30)</f>
        <v>1</v>
      </c>
      <c r="C30" s="9"/>
      <c r="D30" s="9"/>
      <c r="E30" s="9"/>
      <c r="F30" s="9"/>
      <c r="G30" s="9"/>
      <c r="H30" s="9"/>
      <c r="I30" s="9"/>
      <c r="J30" s="9"/>
      <c r="K30" s="42">
        <f>IF(G6&lt;K29,G6,((G6/100)*(90+plus)))</f>
        <v>0</v>
      </c>
      <c r="L30" s="18">
        <f>Z7+0.25</f>
        <v>0.64</v>
      </c>
      <c r="M30" s="9">
        <f>IF(G7&gt;L30,(L30-(G7/100)*90),G7)</f>
        <v>0</v>
      </c>
      <c r="N30" s="9">
        <f>((M30*K30)+1!N30-(G8*I8))+' '!BA30</f>
        <v>25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.5" customHeight="1">
      <c r="A31" s="9"/>
      <c r="B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</sheetData>
  <sheetProtection password="E72E" sheet="1" objects="1" scenarios="1" selectLockedCells="1"/>
  <mergeCells count="53">
    <mergeCell ref="Z12:AC12"/>
    <mergeCell ref="Z13:AC13"/>
    <mergeCell ref="Z8:AC8"/>
    <mergeCell ref="R9:U9"/>
    <mergeCell ref="V9:Y9"/>
    <mergeCell ref="Z9:AC9"/>
    <mergeCell ref="R10:U10"/>
    <mergeCell ref="V10:Y10"/>
    <mergeCell ref="Z10:AC10"/>
    <mergeCell ref="V8:Y8"/>
    <mergeCell ref="C8:F8"/>
    <mergeCell ref="G8:H8"/>
    <mergeCell ref="I8:K8"/>
    <mergeCell ref="M8:O8"/>
    <mergeCell ref="R8:U8"/>
    <mergeCell ref="AB7:AC7"/>
    <mergeCell ref="C6:F6"/>
    <mergeCell ref="G6:H6"/>
    <mergeCell ref="I6:K6"/>
    <mergeCell ref="M6:O6"/>
    <mergeCell ref="R6:U6"/>
    <mergeCell ref="V6:Y6"/>
    <mergeCell ref="Z6:AC6"/>
    <mergeCell ref="C7:F7"/>
    <mergeCell ref="G7:H7"/>
    <mergeCell ref="I7:K7"/>
    <mergeCell ref="M7:O7"/>
    <mergeCell ref="C9:O9"/>
    <mergeCell ref="R2:U2"/>
    <mergeCell ref="V2:Y2"/>
    <mergeCell ref="Z2:AC2"/>
    <mergeCell ref="C3:F3"/>
    <mergeCell ref="G3:H3"/>
    <mergeCell ref="I3:K3"/>
    <mergeCell ref="M3:O3"/>
    <mergeCell ref="R3:U3"/>
    <mergeCell ref="V3:Y3"/>
    <mergeCell ref="I5:K5"/>
    <mergeCell ref="R5:U5"/>
    <mergeCell ref="V5:Y5"/>
    <mergeCell ref="R7:U7"/>
    <mergeCell ref="V7:Y7"/>
    <mergeCell ref="Z7:AA7"/>
    <mergeCell ref="Z3:AC3"/>
    <mergeCell ref="Z5:AC5"/>
    <mergeCell ref="C4:F4"/>
    <mergeCell ref="G4:H4"/>
    <mergeCell ref="I4:K4"/>
    <mergeCell ref="R4:U4"/>
    <mergeCell ref="V4:Y4"/>
    <mergeCell ref="Z4:AC4"/>
    <mergeCell ref="C5:F5"/>
    <mergeCell ref="G5:H5"/>
  </mergeCells>
  <conditionalFormatting sqref="C9:O9">
    <cfRule type="cellIs" priority="1" dxfId="20" operator="equal">
      <formula>" "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G5" sqref="G5:H5"/>
    </sheetView>
  </sheetViews>
  <sheetFormatPr defaultColWidth="0" defaultRowHeight="0" customHeight="1" zeroHeight="1"/>
  <cols>
    <col min="1" max="30" width="3.7109375" style="0" customWidth="1"/>
    <col min="31" max="31" width="0.13671875" style="0" customWidth="1"/>
    <col min="32" max="16384" width="3.7109375" style="0" hidden="1" customWidth="1"/>
  </cols>
  <sheetData>
    <row r="1" spans="1:31" ht="1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 thickBot="1">
      <c r="A2" s="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157" t="s">
        <v>0</v>
      </c>
      <c r="S2" s="158"/>
      <c r="T2" s="158"/>
      <c r="U2" s="159"/>
      <c r="V2" s="157" t="s">
        <v>1</v>
      </c>
      <c r="W2" s="158"/>
      <c r="X2" s="158"/>
      <c r="Y2" s="159"/>
      <c r="Z2" s="157" t="s">
        <v>2</v>
      </c>
      <c r="AA2" s="158"/>
      <c r="AB2" s="158"/>
      <c r="AC2" s="159"/>
      <c r="AD2" s="19"/>
      <c r="AE2" s="9"/>
    </row>
    <row r="3" spans="1:31" ht="15" customHeight="1" thickBot="1">
      <c r="A3" s="9"/>
      <c r="B3" s="5"/>
      <c r="C3" s="185"/>
      <c r="D3" s="185"/>
      <c r="E3" s="185"/>
      <c r="F3" s="185"/>
      <c r="G3" s="142" t="s">
        <v>4</v>
      </c>
      <c r="H3" s="163"/>
      <c r="I3" s="129" t="s">
        <v>5</v>
      </c>
      <c r="J3" s="132"/>
      <c r="K3" s="133"/>
      <c r="L3" s="4"/>
      <c r="M3" s="164">
        <f>IF('[1] '!$O$10=100,2!N30+100,IF('[1] '!$O$10=200,2!N30-200,2!N30))</f>
        <v>25</v>
      </c>
      <c r="N3" s="165"/>
      <c r="O3" s="166"/>
      <c r="P3" s="7"/>
      <c r="Q3" s="8"/>
      <c r="R3" s="167" t="str">
        <f>1!R3:U3</f>
        <v>vandaag is</v>
      </c>
      <c r="S3" s="168"/>
      <c r="T3" s="168"/>
      <c r="U3" s="168"/>
      <c r="V3" s="167" t="str">
        <f>1!V3:Y3</f>
        <v>er is geen</v>
      </c>
      <c r="W3" s="168"/>
      <c r="X3" s="168"/>
      <c r="Y3" s="169"/>
      <c r="Z3" s="170" t="str">
        <f>1!Z3:AC3</f>
        <v>de ijsprijs is</v>
      </c>
      <c r="AA3" s="168"/>
      <c r="AB3" s="168"/>
      <c r="AC3" s="169"/>
      <c r="AD3" s="20"/>
      <c r="AE3" s="9"/>
    </row>
    <row r="4" spans="1:31" ht="15" customHeight="1" thickBot="1">
      <c r="A4" s="9"/>
      <c r="B4" s="5"/>
      <c r="C4" s="136" t="s">
        <v>6</v>
      </c>
      <c r="D4" s="137"/>
      <c r="E4" s="137"/>
      <c r="F4" s="143"/>
      <c r="G4" s="174">
        <v>3</v>
      </c>
      <c r="H4" s="175"/>
      <c r="I4" s="151"/>
      <c r="J4" s="151"/>
      <c r="K4" s="151"/>
      <c r="L4" s="4"/>
      <c r="M4" s="9"/>
      <c r="N4" s="9"/>
      <c r="O4" s="9"/>
      <c r="P4" s="10"/>
      <c r="Q4" s="8"/>
      <c r="R4" s="122" t="str">
        <f>1!R4:U4</f>
        <v>het tamelijk</v>
      </c>
      <c r="S4" s="120"/>
      <c r="T4" s="120"/>
      <c r="U4" s="120"/>
      <c r="V4" s="122" t="str">
        <f>1!V4:Y4</f>
        <v>waarschuwing</v>
      </c>
      <c r="W4" s="120"/>
      <c r="X4" s="120"/>
      <c r="Y4" s="121"/>
      <c r="Z4" s="119" t="str">
        <f>1!Z4:AC4</f>
        <v>vandaag</v>
      </c>
      <c r="AA4" s="120"/>
      <c r="AB4" s="120"/>
      <c r="AC4" s="121"/>
      <c r="AD4" s="20"/>
      <c r="AE4" s="9"/>
    </row>
    <row r="5" spans="1:31" ht="15" customHeight="1" thickBot="1">
      <c r="A5" s="9"/>
      <c r="B5" s="5"/>
      <c r="C5" s="129" t="s">
        <v>7</v>
      </c>
      <c r="D5" s="132"/>
      <c r="E5" s="132"/>
      <c r="F5" s="132"/>
      <c r="G5" s="154">
        <v>0</v>
      </c>
      <c r="H5" s="155"/>
      <c r="I5" s="156"/>
      <c r="J5" s="156"/>
      <c r="K5" s="156"/>
      <c r="L5" s="8"/>
      <c r="M5" s="9"/>
      <c r="N5" s="9"/>
      <c r="O5" s="9"/>
      <c r="P5" s="10"/>
      <c r="Q5" s="11"/>
      <c r="R5" s="122" t="str">
        <f>1!R5:U5</f>
        <v>bewolkt</v>
      </c>
      <c r="S5" s="120"/>
      <c r="T5" s="120"/>
      <c r="U5" s="120"/>
      <c r="V5" s="122" t="str">
        <f>1!V5:Y5</f>
        <v>voor vandaag</v>
      </c>
      <c r="W5" s="120"/>
      <c r="X5" s="120"/>
      <c r="Y5" s="121"/>
      <c r="Z5" s="119" t="str">
        <f>1!Z5:AC5</f>
        <v>erg laag</v>
      </c>
      <c r="AA5" s="120"/>
      <c r="AB5" s="120"/>
      <c r="AC5" s="121"/>
      <c r="AD5" s="20"/>
      <c r="AE5" s="9"/>
    </row>
    <row r="6" spans="1:31" ht="15" customHeight="1" thickBot="1">
      <c r="A6" s="9"/>
      <c r="B6" s="5"/>
      <c r="C6" s="136" t="s">
        <v>8</v>
      </c>
      <c r="D6" s="137"/>
      <c r="E6" s="137"/>
      <c r="F6" s="137"/>
      <c r="G6" s="138">
        <v>0</v>
      </c>
      <c r="H6" s="139"/>
      <c r="I6" s="140">
        <f>1!I6</f>
        <v>0.39</v>
      </c>
      <c r="J6" s="140"/>
      <c r="K6" s="141"/>
      <c r="L6" s="8"/>
      <c r="M6" s="142"/>
      <c r="N6" s="142"/>
      <c r="O6" s="142"/>
      <c r="P6" s="7"/>
      <c r="Q6" s="8"/>
      <c r="R6" s="122" t="str">
        <f>1!R6:U6</f>
        <v>met windkracht</v>
      </c>
      <c r="S6" s="120"/>
      <c r="T6" s="120"/>
      <c r="U6" s="120"/>
      <c r="V6" s="122" t="str">
        <f>1!V6:Y6</f>
        <v>of morgen</v>
      </c>
      <c r="W6" s="120"/>
      <c r="X6" s="120"/>
      <c r="Y6" s="121"/>
      <c r="Z6" s="119" t="str">
        <f>1!Z6:AC6</f>
        <v>namelijk</v>
      </c>
      <c r="AA6" s="120"/>
      <c r="AB6" s="120"/>
      <c r="AC6" s="121"/>
      <c r="AD6" s="20"/>
      <c r="AE6" s="9"/>
    </row>
    <row r="7" spans="1:31" ht="15" customHeight="1" thickBot="1">
      <c r="A7" s="9"/>
      <c r="B7" s="5"/>
      <c r="C7" s="147" t="s">
        <v>9</v>
      </c>
      <c r="D7" s="148"/>
      <c r="E7" s="148"/>
      <c r="F7" s="148"/>
      <c r="G7" s="149">
        <v>0</v>
      </c>
      <c r="H7" s="150"/>
      <c r="I7" s="151"/>
      <c r="J7" s="151"/>
      <c r="K7" s="151"/>
      <c r="L7" s="12"/>
      <c r="M7" s="142"/>
      <c r="N7" s="142"/>
      <c r="O7" s="142"/>
      <c r="P7" s="7"/>
      <c r="Q7" s="12"/>
      <c r="R7" s="122">
        <f>1!R7:U7</f>
        <v>19</v>
      </c>
      <c r="S7" s="120"/>
      <c r="T7" s="120"/>
      <c r="U7" s="120"/>
      <c r="V7" s="122" t="str">
        <f>1!V7:Y7</f>
        <v>bekend</v>
      </c>
      <c r="W7" s="120"/>
      <c r="X7" s="120"/>
      <c r="Y7" s="121"/>
      <c r="Z7" s="177">
        <f>1!I6</f>
        <v>0.39</v>
      </c>
      <c r="AA7" s="177"/>
      <c r="AB7" s="134" t="s">
        <v>10</v>
      </c>
      <c r="AC7" s="135"/>
      <c r="AD7" s="21"/>
      <c r="AE7" s="9"/>
    </row>
    <row r="8" spans="1:31" ht="15" customHeight="1" thickBot="1">
      <c r="A8" s="9"/>
      <c r="B8" s="5"/>
      <c r="C8" s="136" t="s">
        <v>11</v>
      </c>
      <c r="D8" s="137"/>
      <c r="E8" s="137"/>
      <c r="F8" s="143"/>
      <c r="G8" s="144">
        <v>0</v>
      </c>
      <c r="H8" s="145"/>
      <c r="I8" s="146">
        <f>1!I8</f>
        <v>5</v>
      </c>
      <c r="J8" s="140"/>
      <c r="K8" s="141"/>
      <c r="L8" s="4"/>
      <c r="M8" s="142"/>
      <c r="N8" s="142"/>
      <c r="O8" s="142"/>
      <c r="P8" s="7"/>
      <c r="Q8" s="13"/>
      <c r="R8" s="122" t="str">
        <f>1!R8:U8</f>
        <v> </v>
      </c>
      <c r="S8" s="120"/>
      <c r="T8" s="120"/>
      <c r="U8" s="120"/>
      <c r="V8" s="122" t="str">
        <f>1!V8:Y8</f>
        <v> </v>
      </c>
      <c r="W8" s="120"/>
      <c r="X8" s="120"/>
      <c r="Y8" s="121"/>
      <c r="Z8" s="119" t="str">
        <f>1!Z8:AC8</f>
        <v>per stuk</v>
      </c>
      <c r="AA8" s="120"/>
      <c r="AB8" s="120"/>
      <c r="AC8" s="121"/>
      <c r="AD8" s="20"/>
      <c r="AE8" s="9"/>
    </row>
    <row r="9" spans="1:31" ht="15" customHeight="1" thickBot="1">
      <c r="A9" s="9"/>
      <c r="B9" s="5"/>
      <c r="C9" s="180" t="str">
        <f>' '!AX30</f>
        <v> </v>
      </c>
      <c r="D9" s="181"/>
      <c r="E9" s="181"/>
      <c r="F9" s="181"/>
      <c r="G9" s="182"/>
      <c r="H9" s="182"/>
      <c r="I9" s="181"/>
      <c r="J9" s="181"/>
      <c r="K9" s="181"/>
      <c r="L9" s="181"/>
      <c r="M9" s="183"/>
      <c r="N9" s="183"/>
      <c r="O9" s="184"/>
      <c r="P9" s="7"/>
      <c r="Q9" s="4"/>
      <c r="R9" s="122" t="str">
        <f>1!R9:U9</f>
        <v> </v>
      </c>
      <c r="S9" s="120"/>
      <c r="T9" s="120"/>
      <c r="U9" s="120"/>
      <c r="V9" s="122" t="str">
        <f>1!V9:Y9</f>
        <v> </v>
      </c>
      <c r="W9" s="120"/>
      <c r="X9" s="120"/>
      <c r="Y9" s="121"/>
      <c r="Z9" s="119" t="str">
        <f>1!Z9:AC9</f>
        <v> </v>
      </c>
      <c r="AA9" s="120"/>
      <c r="AB9" s="120"/>
      <c r="AC9" s="121"/>
      <c r="AD9" s="20"/>
      <c r="AE9" s="9"/>
    </row>
    <row r="10" spans="1:31" ht="15" customHeight="1" thickBot="1">
      <c r="A10" s="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6"/>
      <c r="N10" s="6"/>
      <c r="O10" s="15"/>
      <c r="P10" s="16"/>
      <c r="Q10" s="4"/>
      <c r="R10" s="125" t="str">
        <f>1!R10:U10</f>
        <v> </v>
      </c>
      <c r="S10" s="126"/>
      <c r="T10" s="126"/>
      <c r="U10" s="126"/>
      <c r="V10" s="125" t="str">
        <f>1!V10:Y10</f>
        <v> </v>
      </c>
      <c r="W10" s="126"/>
      <c r="X10" s="126"/>
      <c r="Y10" s="127"/>
      <c r="Z10" s="128" t="str">
        <f>1!Z10:AC10</f>
        <v> </v>
      </c>
      <c r="AA10" s="126"/>
      <c r="AB10" s="126"/>
      <c r="AC10" s="127"/>
      <c r="AD10" s="20"/>
      <c r="AE10" s="9"/>
    </row>
    <row r="11" spans="1:3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8"/>
      <c r="AA12" s="118"/>
      <c r="AB12" s="118"/>
      <c r="AC12" s="118"/>
      <c r="AD12" s="17"/>
      <c r="AE12" s="9"/>
    </row>
    <row r="13" spans="1:3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18"/>
      <c r="AA13" s="118"/>
      <c r="AB13" s="118"/>
      <c r="AC13" s="118"/>
      <c r="AD13" s="17"/>
      <c r="AE13" s="9"/>
    </row>
    <row r="14" spans="1:31" ht="15" customHeight="1">
      <c r="A14" s="9"/>
      <c r="B14" s="9"/>
      <c r="C14" s="25"/>
      <c r="D14" s="25"/>
      <c r="E14" s="25"/>
      <c r="F14" s="25"/>
      <c r="G14" s="25"/>
      <c r="H14" s="25"/>
      <c r="I14" s="25"/>
      <c r="J14" s="2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5" customHeight="1">
      <c r="A15" s="9"/>
      <c r="B15" s="9"/>
      <c r="C15" s="25"/>
      <c r="D15" s="25"/>
      <c r="E15" s="25"/>
      <c r="F15" s="25"/>
      <c r="G15" s="25"/>
      <c r="H15" s="25"/>
      <c r="I15" s="25"/>
      <c r="J15" s="2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>
      <c r="A16" s="9"/>
      <c r="B16" s="9"/>
      <c r="C16" s="25"/>
      <c r="D16" s="25"/>
      <c r="E16" s="25"/>
      <c r="F16" s="25"/>
      <c r="G16" s="25"/>
      <c r="H16" s="25"/>
      <c r="I16" s="25"/>
      <c r="J16" s="2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>
      <c r="A17" s="9"/>
      <c r="B17" s="9"/>
      <c r="C17" s="25"/>
      <c r="D17" s="25"/>
      <c r="E17" s="25"/>
      <c r="F17" s="25"/>
      <c r="G17" s="25"/>
      <c r="H17" s="25"/>
      <c r="I17" s="25"/>
      <c r="J17" s="2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>
      <c r="A18" s="9"/>
      <c r="B18" s="9"/>
      <c r="C18" s="25"/>
      <c r="D18" s="25"/>
      <c r="E18" s="25"/>
      <c r="F18" s="25"/>
      <c r="G18" s="25"/>
      <c r="H18" s="25"/>
      <c r="I18" s="25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>
      <c r="A19" s="9"/>
      <c r="B19" s="9"/>
      <c r="C19" s="25"/>
      <c r="D19" s="25"/>
      <c r="E19" s="25"/>
      <c r="F19" s="25"/>
      <c r="G19" s="25"/>
      <c r="H19" s="25"/>
      <c r="I19" s="25"/>
      <c r="J19" s="2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 customHeight="1">
      <c r="A20" s="9"/>
      <c r="B20" s="9"/>
      <c r="C20" s="25"/>
      <c r="D20" s="25"/>
      <c r="E20" s="25"/>
      <c r="F20" s="25"/>
      <c r="G20" s="25"/>
      <c r="H20" s="25"/>
      <c r="I20" s="25"/>
      <c r="J20" s="2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 customHeight="1">
      <c r="A21" s="9"/>
      <c r="B21" s="9"/>
      <c r="C21" s="25"/>
      <c r="D21" s="25"/>
      <c r="E21" s="25"/>
      <c r="F21" s="25"/>
      <c r="G21" s="25"/>
      <c r="H21" s="25"/>
      <c r="I21" s="25"/>
      <c r="J21" s="2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" customHeight="1">
      <c r="A22" s="9"/>
      <c r="B22" s="9"/>
      <c r="C22" s="25"/>
      <c r="D22" s="25"/>
      <c r="E22" s="25"/>
      <c r="F22" s="25"/>
      <c r="G22" s="25"/>
      <c r="H22" s="25"/>
      <c r="I22" s="25"/>
      <c r="J22" s="2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>
      <c r="A23" s="9"/>
      <c r="B23" s="9"/>
      <c r="C23" s="25"/>
      <c r="D23" s="25"/>
      <c r="E23" s="25"/>
      <c r="F23" s="25"/>
      <c r="G23" s="25"/>
      <c r="H23" s="25"/>
      <c r="I23" s="25"/>
      <c r="J23" s="2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>
      <c r="A24" s="9"/>
      <c r="B24" s="9"/>
      <c r="C24" s="25"/>
      <c r="D24" s="25"/>
      <c r="E24" s="25"/>
      <c r="F24" s="25"/>
      <c r="G24" s="25"/>
      <c r="H24" s="25"/>
      <c r="I24" s="25"/>
      <c r="J24" s="2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>
      <c r="A25" s="9"/>
      <c r="B25" s="9"/>
      <c r="C25" s="25"/>
      <c r="D25" s="25"/>
      <c r="E25" s="25"/>
      <c r="F25" s="25"/>
      <c r="G25" s="25"/>
      <c r="H25" s="25"/>
      <c r="I25" s="25"/>
      <c r="J25" s="2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 customHeight="1">
      <c r="A26" s="9"/>
      <c r="B26" s="9"/>
      <c r="C26" s="25"/>
      <c r="D26" s="25"/>
      <c r="E26" s="25"/>
      <c r="F26" s="25"/>
      <c r="G26" s="25"/>
      <c r="H26" s="25"/>
      <c r="I26" s="25"/>
      <c r="J26" s="2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customHeight="1">
      <c r="A27" s="9"/>
      <c r="B27" s="9"/>
      <c r="C27" s="25"/>
      <c r="D27" s="25"/>
      <c r="E27" s="25"/>
      <c r="F27" s="25"/>
      <c r="G27" s="25"/>
      <c r="H27" s="25"/>
      <c r="I27" s="25"/>
      <c r="J27" s="2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customHeight="1" hidden="1">
      <c r="A28" s="9"/>
      <c r="B28" s="9"/>
      <c r="C28" s="26"/>
      <c r="D28" s="26" t="s">
        <v>25</v>
      </c>
      <c r="E28" s="26" t="s">
        <v>8</v>
      </c>
      <c r="F28" s="26" t="s">
        <v>9</v>
      </c>
      <c r="G28" s="46" t="s">
        <v>11</v>
      </c>
      <c r="H28" s="26" t="s">
        <v>4</v>
      </c>
      <c r="I28" s="25"/>
      <c r="J28" s="25"/>
      <c r="K28" s="43" t="s">
        <v>20</v>
      </c>
      <c r="L28" s="43" t="s">
        <v>21</v>
      </c>
      <c r="M28" s="43" t="s">
        <v>19</v>
      </c>
      <c r="N28" s="43" t="s">
        <v>22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" customHeight="1" hidden="1">
      <c r="A29" s="9"/>
      <c r="B29" s="23">
        <f>IF(G5=0,2!B29,G4)</f>
        <v>1</v>
      </c>
      <c r="C29" s="18"/>
      <c r="D29" s="22">
        <f>IF(G5=0,2!D29,G5)</f>
        <v>0</v>
      </c>
      <c r="E29" s="22">
        <f>IF(G6=0,2!E29,G6)</f>
        <v>0</v>
      </c>
      <c r="F29" s="24">
        <f>IF(G7=0,2!F29,G7)</f>
        <v>0</v>
      </c>
      <c r="G29" s="22">
        <f>IF(G8=0,2!G29,G8)</f>
        <v>0</v>
      </c>
      <c r="H29" s="9"/>
      <c r="I29" s="9"/>
      <c r="J29" s="9"/>
      <c r="K29" s="9">
        <v>150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" customHeight="1" hidden="1">
      <c r="A30" s="9"/>
      <c r="B30" s="23">
        <f>IF(G5&gt;0,G4,2!B30)</f>
        <v>1</v>
      </c>
      <c r="C30" s="9"/>
      <c r="D30" s="9"/>
      <c r="E30" s="9"/>
      <c r="F30" s="9"/>
      <c r="G30" s="9"/>
      <c r="H30" s="9"/>
      <c r="I30" s="9"/>
      <c r="J30" s="9"/>
      <c r="K30" s="42">
        <f>IF(G6&lt;K29,G6,((G6/100)*(90+plus)))</f>
        <v>0</v>
      </c>
      <c r="L30" s="18">
        <f>Z7+0.3</f>
        <v>0.69</v>
      </c>
      <c r="M30" s="9">
        <f>IF(G7&gt;L30,(L30-(G7/100)*90),G7)</f>
        <v>0</v>
      </c>
      <c r="N30" s="9">
        <f>((M30*K30)+2!N30-(G8*I8))+' '!BA31</f>
        <v>25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.5" customHeight="1">
      <c r="A31" s="9"/>
      <c r="B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</sheetData>
  <sheetProtection password="E72E" sheet="1" objects="1" scenarios="1" selectLockedCells="1"/>
  <mergeCells count="53">
    <mergeCell ref="Z12:AC12"/>
    <mergeCell ref="Z13:AC13"/>
    <mergeCell ref="Z8:AC8"/>
    <mergeCell ref="R9:U9"/>
    <mergeCell ref="V9:Y9"/>
    <mergeCell ref="Z9:AC9"/>
    <mergeCell ref="R10:U10"/>
    <mergeCell ref="V10:Y10"/>
    <mergeCell ref="Z10:AC10"/>
    <mergeCell ref="V8:Y8"/>
    <mergeCell ref="C8:F8"/>
    <mergeCell ref="G8:H8"/>
    <mergeCell ref="I8:K8"/>
    <mergeCell ref="M8:O8"/>
    <mergeCell ref="R8:U8"/>
    <mergeCell ref="AB7:AC7"/>
    <mergeCell ref="C6:F6"/>
    <mergeCell ref="G6:H6"/>
    <mergeCell ref="I6:K6"/>
    <mergeCell ref="M6:O6"/>
    <mergeCell ref="R6:U6"/>
    <mergeCell ref="V6:Y6"/>
    <mergeCell ref="Z6:AC6"/>
    <mergeCell ref="C7:F7"/>
    <mergeCell ref="G7:H7"/>
    <mergeCell ref="I7:K7"/>
    <mergeCell ref="M7:O7"/>
    <mergeCell ref="C9:O9"/>
    <mergeCell ref="R2:U2"/>
    <mergeCell ref="V2:Y2"/>
    <mergeCell ref="Z2:AC2"/>
    <mergeCell ref="C3:F3"/>
    <mergeCell ref="G3:H3"/>
    <mergeCell ref="I3:K3"/>
    <mergeCell ref="M3:O3"/>
    <mergeCell ref="R3:U3"/>
    <mergeCell ref="V3:Y3"/>
    <mergeCell ref="I5:K5"/>
    <mergeCell ref="R5:U5"/>
    <mergeCell ref="V5:Y5"/>
    <mergeCell ref="R7:U7"/>
    <mergeCell ref="V7:Y7"/>
    <mergeCell ref="Z7:AA7"/>
    <mergeCell ref="Z3:AC3"/>
    <mergeCell ref="Z5:AC5"/>
    <mergeCell ref="C4:F4"/>
    <mergeCell ref="G4:H4"/>
    <mergeCell ref="I4:K4"/>
    <mergeCell ref="R4:U4"/>
    <mergeCell ref="V4:Y4"/>
    <mergeCell ref="Z4:AC4"/>
    <mergeCell ref="C5:F5"/>
    <mergeCell ref="G5:H5"/>
  </mergeCells>
  <conditionalFormatting sqref="C9:O9">
    <cfRule type="cellIs" priority="1" dxfId="20" operator="equal">
      <formula>" "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G5" sqref="G5:H5"/>
    </sheetView>
  </sheetViews>
  <sheetFormatPr defaultColWidth="0" defaultRowHeight="0" customHeight="1" zeroHeight="1"/>
  <cols>
    <col min="1" max="30" width="3.7109375" style="0" customWidth="1"/>
    <col min="31" max="31" width="0.13671875" style="0" customWidth="1"/>
    <col min="32" max="16384" width="3.7109375" style="0" hidden="1" customWidth="1"/>
  </cols>
  <sheetData>
    <row r="1" spans="1:31" ht="1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 thickBot="1">
      <c r="A2" s="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157" t="s">
        <v>0</v>
      </c>
      <c r="S2" s="158"/>
      <c r="T2" s="158"/>
      <c r="U2" s="159"/>
      <c r="V2" s="157" t="s">
        <v>1</v>
      </c>
      <c r="W2" s="158"/>
      <c r="X2" s="158"/>
      <c r="Y2" s="159"/>
      <c r="Z2" s="157" t="s">
        <v>2</v>
      </c>
      <c r="AA2" s="158"/>
      <c r="AB2" s="158"/>
      <c r="AC2" s="159"/>
      <c r="AD2" s="19"/>
      <c r="AE2" s="9"/>
    </row>
    <row r="3" spans="1:31" ht="15" customHeight="1" thickBot="1">
      <c r="A3" s="9"/>
      <c r="B3" s="5"/>
      <c r="C3" s="185"/>
      <c r="D3" s="185"/>
      <c r="E3" s="185"/>
      <c r="F3" s="185"/>
      <c r="G3" s="142" t="s">
        <v>4</v>
      </c>
      <c r="H3" s="163"/>
      <c r="I3" s="129" t="s">
        <v>5</v>
      </c>
      <c r="J3" s="132"/>
      <c r="K3" s="133"/>
      <c r="L3" s="4"/>
      <c r="M3" s="164">
        <f>IF('[1] '!$O$10=100,3!N30+100,IF('[1] '!$O$10=200,3!N30-200,3!N30))</f>
        <v>25</v>
      </c>
      <c r="N3" s="165"/>
      <c r="O3" s="166"/>
      <c r="P3" s="7"/>
      <c r="Q3" s="8"/>
      <c r="R3" s="167" t="str">
        <f>1!R3:U3</f>
        <v>vandaag is</v>
      </c>
      <c r="S3" s="168"/>
      <c r="T3" s="168"/>
      <c r="U3" s="168"/>
      <c r="V3" s="167" t="str">
        <f>1!V3:Y3</f>
        <v>er is geen</v>
      </c>
      <c r="W3" s="168"/>
      <c r="X3" s="168"/>
      <c r="Y3" s="169"/>
      <c r="Z3" s="170" t="str">
        <f>1!Z3:AC3</f>
        <v>de ijsprijs is</v>
      </c>
      <c r="AA3" s="168"/>
      <c r="AB3" s="168"/>
      <c r="AC3" s="169"/>
      <c r="AD3" s="20"/>
      <c r="AE3" s="9"/>
    </row>
    <row r="4" spans="1:31" ht="15" customHeight="1" thickBot="1">
      <c r="A4" s="9"/>
      <c r="B4" s="5"/>
      <c r="C4" s="136" t="s">
        <v>6</v>
      </c>
      <c r="D4" s="137"/>
      <c r="E4" s="137"/>
      <c r="F4" s="143"/>
      <c r="G4" s="174">
        <v>4</v>
      </c>
      <c r="H4" s="175"/>
      <c r="I4" s="151"/>
      <c r="J4" s="151"/>
      <c r="K4" s="151"/>
      <c r="L4" s="4"/>
      <c r="M4" s="9"/>
      <c r="N4" s="9"/>
      <c r="O4" s="9"/>
      <c r="P4" s="10"/>
      <c r="Q4" s="8"/>
      <c r="R4" s="122" t="str">
        <f>1!R4:U4</f>
        <v>het tamelijk</v>
      </c>
      <c r="S4" s="120"/>
      <c r="T4" s="120"/>
      <c r="U4" s="120"/>
      <c r="V4" s="122" t="str">
        <f>1!V4:Y4</f>
        <v>waarschuwing</v>
      </c>
      <c r="W4" s="120"/>
      <c r="X4" s="120"/>
      <c r="Y4" s="121"/>
      <c r="Z4" s="119" t="str">
        <f>1!Z4:AC4</f>
        <v>vandaag</v>
      </c>
      <c r="AA4" s="120"/>
      <c r="AB4" s="120"/>
      <c r="AC4" s="121"/>
      <c r="AD4" s="20"/>
      <c r="AE4" s="9"/>
    </row>
    <row r="5" spans="1:31" ht="15" customHeight="1" thickBot="1">
      <c r="A5" s="9"/>
      <c r="B5" s="5"/>
      <c r="C5" s="129" t="s">
        <v>7</v>
      </c>
      <c r="D5" s="132"/>
      <c r="E5" s="132"/>
      <c r="F5" s="132"/>
      <c r="G5" s="154">
        <v>0</v>
      </c>
      <c r="H5" s="155"/>
      <c r="I5" s="156"/>
      <c r="J5" s="156"/>
      <c r="K5" s="156"/>
      <c r="L5" s="8"/>
      <c r="M5" s="9"/>
      <c r="N5" s="9"/>
      <c r="O5" s="9"/>
      <c r="P5" s="10"/>
      <c r="Q5" s="11"/>
      <c r="R5" s="122" t="str">
        <f>1!R5:U5</f>
        <v>bewolkt</v>
      </c>
      <c r="S5" s="120"/>
      <c r="T5" s="120"/>
      <c r="U5" s="120"/>
      <c r="V5" s="122" t="str">
        <f>1!V5:Y5</f>
        <v>voor vandaag</v>
      </c>
      <c r="W5" s="120"/>
      <c r="X5" s="120"/>
      <c r="Y5" s="121"/>
      <c r="Z5" s="119" t="str">
        <f>1!Z5:AC5</f>
        <v>erg laag</v>
      </c>
      <c r="AA5" s="120"/>
      <c r="AB5" s="120"/>
      <c r="AC5" s="121"/>
      <c r="AD5" s="20"/>
      <c r="AE5" s="9"/>
    </row>
    <row r="6" spans="1:31" ht="15" customHeight="1" thickBot="1">
      <c r="A6" s="9"/>
      <c r="B6" s="5"/>
      <c r="C6" s="136" t="s">
        <v>8</v>
      </c>
      <c r="D6" s="137"/>
      <c r="E6" s="137"/>
      <c r="F6" s="137"/>
      <c r="G6" s="138">
        <v>0</v>
      </c>
      <c r="H6" s="139"/>
      <c r="I6" s="140">
        <f>1!I6</f>
        <v>0.39</v>
      </c>
      <c r="J6" s="140"/>
      <c r="K6" s="141"/>
      <c r="L6" s="8"/>
      <c r="M6" s="142"/>
      <c r="N6" s="142"/>
      <c r="O6" s="142"/>
      <c r="P6" s="7"/>
      <c r="Q6" s="8"/>
      <c r="R6" s="122" t="str">
        <f>1!R6:U6</f>
        <v>met windkracht</v>
      </c>
      <c r="S6" s="120"/>
      <c r="T6" s="120"/>
      <c r="U6" s="120"/>
      <c r="V6" s="122" t="str">
        <f>1!V6:Y6</f>
        <v>of morgen</v>
      </c>
      <c r="W6" s="120"/>
      <c r="X6" s="120"/>
      <c r="Y6" s="121"/>
      <c r="Z6" s="119" t="str">
        <f>1!Z6:AC6</f>
        <v>namelijk</v>
      </c>
      <c r="AA6" s="120"/>
      <c r="AB6" s="120"/>
      <c r="AC6" s="121"/>
      <c r="AD6" s="20"/>
      <c r="AE6" s="9"/>
    </row>
    <row r="7" spans="1:31" ht="15" customHeight="1" thickBot="1">
      <c r="A7" s="9"/>
      <c r="B7" s="5"/>
      <c r="C7" s="147" t="s">
        <v>9</v>
      </c>
      <c r="D7" s="148"/>
      <c r="E7" s="148"/>
      <c r="F7" s="148"/>
      <c r="G7" s="149">
        <v>0</v>
      </c>
      <c r="H7" s="150"/>
      <c r="I7" s="151"/>
      <c r="J7" s="151"/>
      <c r="K7" s="151"/>
      <c r="L7" s="12"/>
      <c r="M7" s="142"/>
      <c r="N7" s="142"/>
      <c r="O7" s="142"/>
      <c r="P7" s="7"/>
      <c r="Q7" s="12"/>
      <c r="R7" s="122">
        <f>1!R7:U7</f>
        <v>19</v>
      </c>
      <c r="S7" s="120"/>
      <c r="T7" s="120"/>
      <c r="U7" s="120"/>
      <c r="V7" s="122" t="str">
        <f>1!V7:Y7</f>
        <v>bekend</v>
      </c>
      <c r="W7" s="120"/>
      <c r="X7" s="120"/>
      <c r="Y7" s="121"/>
      <c r="Z7" s="177">
        <f>1!I6</f>
        <v>0.39</v>
      </c>
      <c r="AA7" s="177"/>
      <c r="AB7" s="134" t="s">
        <v>10</v>
      </c>
      <c r="AC7" s="135"/>
      <c r="AD7" s="21"/>
      <c r="AE7" s="9"/>
    </row>
    <row r="8" spans="1:31" ht="15" customHeight="1" thickBot="1">
      <c r="A8" s="9"/>
      <c r="B8" s="5"/>
      <c r="C8" s="136" t="s">
        <v>11</v>
      </c>
      <c r="D8" s="137"/>
      <c r="E8" s="137"/>
      <c r="F8" s="143"/>
      <c r="G8" s="144">
        <v>0</v>
      </c>
      <c r="H8" s="145"/>
      <c r="I8" s="146">
        <f>1!I8</f>
        <v>5</v>
      </c>
      <c r="J8" s="140"/>
      <c r="K8" s="141"/>
      <c r="L8" s="4"/>
      <c r="M8" s="142"/>
      <c r="N8" s="142"/>
      <c r="O8" s="142"/>
      <c r="P8" s="7"/>
      <c r="Q8" s="13"/>
      <c r="R8" s="122" t="str">
        <f>1!R8:U8</f>
        <v> </v>
      </c>
      <c r="S8" s="120"/>
      <c r="T8" s="120"/>
      <c r="U8" s="120"/>
      <c r="V8" s="122" t="str">
        <f>1!V8:Y8</f>
        <v> </v>
      </c>
      <c r="W8" s="120"/>
      <c r="X8" s="120"/>
      <c r="Y8" s="121"/>
      <c r="Z8" s="119" t="str">
        <f>1!Z8:AC8</f>
        <v>per stuk</v>
      </c>
      <c r="AA8" s="120"/>
      <c r="AB8" s="120"/>
      <c r="AC8" s="121"/>
      <c r="AD8" s="20"/>
      <c r="AE8" s="9"/>
    </row>
    <row r="9" spans="1:31" ht="15" customHeight="1" thickBot="1">
      <c r="A9" s="9"/>
      <c r="B9" s="5"/>
      <c r="C9" s="180" t="str">
        <f>' '!AX31</f>
        <v> </v>
      </c>
      <c r="D9" s="181"/>
      <c r="E9" s="181"/>
      <c r="F9" s="181"/>
      <c r="G9" s="182"/>
      <c r="H9" s="182"/>
      <c r="I9" s="181"/>
      <c r="J9" s="181"/>
      <c r="K9" s="181"/>
      <c r="L9" s="181"/>
      <c r="M9" s="183"/>
      <c r="N9" s="183"/>
      <c r="O9" s="184"/>
      <c r="P9" s="7"/>
      <c r="Q9" s="4"/>
      <c r="R9" s="122" t="str">
        <f>1!R9:U9</f>
        <v> </v>
      </c>
      <c r="S9" s="120"/>
      <c r="T9" s="120"/>
      <c r="U9" s="120"/>
      <c r="V9" s="122" t="str">
        <f>1!V9:Y9</f>
        <v> </v>
      </c>
      <c r="W9" s="120"/>
      <c r="X9" s="120"/>
      <c r="Y9" s="121"/>
      <c r="Z9" s="119" t="str">
        <f>1!Z9:AC9</f>
        <v> </v>
      </c>
      <c r="AA9" s="120"/>
      <c r="AB9" s="120"/>
      <c r="AC9" s="121"/>
      <c r="AD9" s="20"/>
      <c r="AE9" s="9"/>
    </row>
    <row r="10" spans="1:31" ht="15" customHeight="1" thickBot="1">
      <c r="A10" s="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6"/>
      <c r="N10" s="6"/>
      <c r="O10" s="15"/>
      <c r="P10" s="16"/>
      <c r="Q10" s="4"/>
      <c r="R10" s="125" t="str">
        <f>1!R10:U10</f>
        <v> </v>
      </c>
      <c r="S10" s="126"/>
      <c r="T10" s="126"/>
      <c r="U10" s="126"/>
      <c r="V10" s="125" t="str">
        <f>1!V10:Y10</f>
        <v> </v>
      </c>
      <c r="W10" s="126"/>
      <c r="X10" s="126"/>
      <c r="Y10" s="127"/>
      <c r="Z10" s="128" t="str">
        <f>1!Z10:AC10</f>
        <v> </v>
      </c>
      <c r="AA10" s="126"/>
      <c r="AB10" s="126"/>
      <c r="AC10" s="127"/>
      <c r="AD10" s="20"/>
      <c r="AE10" s="9"/>
    </row>
    <row r="11" spans="1:3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8"/>
      <c r="AA12" s="118"/>
      <c r="AB12" s="118"/>
      <c r="AC12" s="118"/>
      <c r="AD12" s="17"/>
      <c r="AE12" s="9"/>
    </row>
    <row r="13" spans="1:3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18"/>
      <c r="AA13" s="118"/>
      <c r="AB13" s="118"/>
      <c r="AC13" s="118"/>
      <c r="AD13" s="17"/>
      <c r="AE13" s="9"/>
    </row>
    <row r="14" spans="1:31" ht="15" customHeight="1">
      <c r="A14" s="9"/>
      <c r="B14" s="9"/>
      <c r="C14" s="25"/>
      <c r="D14" s="25"/>
      <c r="E14" s="25"/>
      <c r="F14" s="25"/>
      <c r="G14" s="25"/>
      <c r="H14" s="25"/>
      <c r="I14" s="25"/>
      <c r="J14" s="2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5" customHeight="1">
      <c r="A15" s="9"/>
      <c r="B15" s="9"/>
      <c r="C15" s="25"/>
      <c r="D15" s="25"/>
      <c r="E15" s="25"/>
      <c r="F15" s="25"/>
      <c r="G15" s="25"/>
      <c r="H15" s="25"/>
      <c r="I15" s="25"/>
      <c r="J15" s="2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>
      <c r="A16" s="9"/>
      <c r="B16" s="9"/>
      <c r="C16" s="25"/>
      <c r="D16" s="25"/>
      <c r="E16" s="25"/>
      <c r="F16" s="25"/>
      <c r="G16" s="25"/>
      <c r="H16" s="25"/>
      <c r="I16" s="25"/>
      <c r="J16" s="2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>
      <c r="A17" s="9"/>
      <c r="B17" s="9"/>
      <c r="C17" s="25"/>
      <c r="D17" s="25"/>
      <c r="E17" s="25"/>
      <c r="F17" s="25"/>
      <c r="G17" s="25"/>
      <c r="H17" s="25"/>
      <c r="I17" s="25"/>
      <c r="J17" s="2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>
      <c r="A18" s="9"/>
      <c r="B18" s="9"/>
      <c r="C18" s="25"/>
      <c r="D18" s="25"/>
      <c r="E18" s="25"/>
      <c r="F18" s="25"/>
      <c r="G18" s="25"/>
      <c r="H18" s="25"/>
      <c r="I18" s="25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>
      <c r="A19" s="9"/>
      <c r="B19" s="9"/>
      <c r="C19" s="25"/>
      <c r="D19" s="25"/>
      <c r="E19" s="25"/>
      <c r="F19" s="25"/>
      <c r="G19" s="25"/>
      <c r="H19" s="25"/>
      <c r="I19" s="25"/>
      <c r="J19" s="2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 customHeight="1">
      <c r="A20" s="9"/>
      <c r="B20" s="9"/>
      <c r="C20" s="25"/>
      <c r="D20" s="25"/>
      <c r="E20" s="25"/>
      <c r="F20" s="25"/>
      <c r="G20" s="25"/>
      <c r="H20" s="25"/>
      <c r="I20" s="25"/>
      <c r="J20" s="2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 customHeight="1">
      <c r="A21" s="9"/>
      <c r="B21" s="9"/>
      <c r="C21" s="25"/>
      <c r="D21" s="25"/>
      <c r="E21" s="25"/>
      <c r="F21" s="25"/>
      <c r="G21" s="25"/>
      <c r="H21" s="25"/>
      <c r="I21" s="25"/>
      <c r="J21" s="2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" customHeight="1">
      <c r="A22" s="9"/>
      <c r="B22" s="9"/>
      <c r="C22" s="25"/>
      <c r="D22" s="25"/>
      <c r="E22" s="25"/>
      <c r="F22" s="25"/>
      <c r="G22" s="25"/>
      <c r="H22" s="25"/>
      <c r="I22" s="25"/>
      <c r="J22" s="2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>
      <c r="A23" s="9"/>
      <c r="B23" s="9"/>
      <c r="C23" s="25"/>
      <c r="D23" s="25"/>
      <c r="E23" s="25"/>
      <c r="F23" s="25"/>
      <c r="G23" s="25"/>
      <c r="H23" s="25"/>
      <c r="I23" s="25"/>
      <c r="J23" s="2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>
      <c r="A24" s="9"/>
      <c r="B24" s="9"/>
      <c r="C24" s="25"/>
      <c r="D24" s="25"/>
      <c r="E24" s="25"/>
      <c r="F24" s="25"/>
      <c r="G24" s="25"/>
      <c r="H24" s="25"/>
      <c r="I24" s="25"/>
      <c r="J24" s="2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>
      <c r="A25" s="9"/>
      <c r="B25" s="9"/>
      <c r="C25" s="25"/>
      <c r="D25" s="25"/>
      <c r="E25" s="25"/>
      <c r="F25" s="25"/>
      <c r="G25" s="25"/>
      <c r="H25" s="25"/>
      <c r="I25" s="25"/>
      <c r="J25" s="2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 customHeight="1">
      <c r="A26" s="9"/>
      <c r="B26" s="9"/>
      <c r="C26" s="25"/>
      <c r="D26" s="25"/>
      <c r="E26" s="25"/>
      <c r="F26" s="25"/>
      <c r="G26" s="25"/>
      <c r="H26" s="25"/>
      <c r="I26" s="25"/>
      <c r="J26" s="2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customHeight="1">
      <c r="A27" s="9"/>
      <c r="B27" s="9"/>
      <c r="C27" s="25"/>
      <c r="D27" s="25"/>
      <c r="E27" s="25"/>
      <c r="F27" s="25"/>
      <c r="G27" s="25"/>
      <c r="H27" s="25"/>
      <c r="I27" s="25"/>
      <c r="J27" s="2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customHeight="1" hidden="1">
      <c r="A28" s="9"/>
      <c r="B28" s="9"/>
      <c r="C28" s="26"/>
      <c r="D28" s="26" t="s">
        <v>25</v>
      </c>
      <c r="E28" s="26" t="s">
        <v>8</v>
      </c>
      <c r="F28" s="26" t="s">
        <v>9</v>
      </c>
      <c r="G28" s="46" t="s">
        <v>11</v>
      </c>
      <c r="H28" s="26" t="s">
        <v>4</v>
      </c>
      <c r="I28" s="25"/>
      <c r="J28" s="25"/>
      <c r="K28" s="43" t="s">
        <v>20</v>
      </c>
      <c r="L28" s="43" t="s">
        <v>21</v>
      </c>
      <c r="M28" s="43" t="s">
        <v>19</v>
      </c>
      <c r="N28" s="43" t="s">
        <v>22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" customHeight="1" hidden="1">
      <c r="A29" s="9"/>
      <c r="B29" s="23">
        <f>IF(G5=0,3!B29,G4)</f>
        <v>1</v>
      </c>
      <c r="C29" s="18"/>
      <c r="D29" s="22">
        <f>IF(G5=0,3!D29,G5)</f>
        <v>0</v>
      </c>
      <c r="E29" s="22">
        <f>IF(G6=0,3!E29,G6)</f>
        <v>0</v>
      </c>
      <c r="F29" s="24">
        <f>IF(G7=0,3!F29,G7)</f>
        <v>0</v>
      </c>
      <c r="G29" s="22">
        <f>IF(G8=0,3!G29,G8)</f>
        <v>0</v>
      </c>
      <c r="H29" s="9"/>
      <c r="I29" s="9"/>
      <c r="J29" s="9"/>
      <c r="K29" s="9">
        <v>249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" customHeight="1" hidden="1">
      <c r="A30" s="9"/>
      <c r="B30" s="23">
        <f>IF(G5&gt;0,G4,3!B30)</f>
        <v>1</v>
      </c>
      <c r="C30" s="9"/>
      <c r="D30" s="9"/>
      <c r="E30" s="9"/>
      <c r="F30" s="9"/>
      <c r="G30" s="9"/>
      <c r="H30" s="9"/>
      <c r="I30" s="9"/>
      <c r="J30" s="9"/>
      <c r="K30" s="42">
        <f>IF(G6&lt;K29,G6,((G6/100)*(90+plus)))</f>
        <v>0</v>
      </c>
      <c r="L30" s="18">
        <f>Z7+0.35</f>
        <v>0.74</v>
      </c>
      <c r="M30" s="9">
        <f>IF(G7&gt;L30,(L30-(G7/100)*90),G7)</f>
        <v>0</v>
      </c>
      <c r="N30" s="9">
        <f>((M30*K30)+3!N30-(G8*I8))++' '!BA32</f>
        <v>25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.5" customHeight="1">
      <c r="A31" s="9"/>
      <c r="B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</sheetData>
  <sheetProtection password="E72E" sheet="1" objects="1" scenarios="1" selectLockedCells="1"/>
  <mergeCells count="53">
    <mergeCell ref="Z12:AC12"/>
    <mergeCell ref="Z13:AC13"/>
    <mergeCell ref="Z8:AC8"/>
    <mergeCell ref="R9:U9"/>
    <mergeCell ref="V9:Y9"/>
    <mergeCell ref="Z9:AC9"/>
    <mergeCell ref="R10:U10"/>
    <mergeCell ref="V10:Y10"/>
    <mergeCell ref="Z10:AC10"/>
    <mergeCell ref="V8:Y8"/>
    <mergeCell ref="C8:F8"/>
    <mergeCell ref="G8:H8"/>
    <mergeCell ref="I8:K8"/>
    <mergeCell ref="M8:O8"/>
    <mergeCell ref="R8:U8"/>
    <mergeCell ref="AB7:AC7"/>
    <mergeCell ref="C6:F6"/>
    <mergeCell ref="G6:H6"/>
    <mergeCell ref="I6:K6"/>
    <mergeCell ref="M6:O6"/>
    <mergeCell ref="R6:U6"/>
    <mergeCell ref="V6:Y6"/>
    <mergeCell ref="Z6:AC6"/>
    <mergeCell ref="C7:F7"/>
    <mergeCell ref="G7:H7"/>
    <mergeCell ref="I7:K7"/>
    <mergeCell ref="M7:O7"/>
    <mergeCell ref="C9:O9"/>
    <mergeCell ref="R2:U2"/>
    <mergeCell ref="V2:Y2"/>
    <mergeCell ref="Z2:AC2"/>
    <mergeCell ref="C3:F3"/>
    <mergeCell ref="G3:H3"/>
    <mergeCell ref="I3:K3"/>
    <mergeCell ref="M3:O3"/>
    <mergeCell ref="R3:U3"/>
    <mergeCell ref="V3:Y3"/>
    <mergeCell ref="I5:K5"/>
    <mergeCell ref="R5:U5"/>
    <mergeCell ref="V5:Y5"/>
    <mergeCell ref="R7:U7"/>
    <mergeCell ref="V7:Y7"/>
    <mergeCell ref="Z7:AA7"/>
    <mergeCell ref="Z3:AC3"/>
    <mergeCell ref="Z5:AC5"/>
    <mergeCell ref="C4:F4"/>
    <mergeCell ref="G4:H4"/>
    <mergeCell ref="I4:K4"/>
    <mergeCell ref="R4:U4"/>
    <mergeCell ref="V4:Y4"/>
    <mergeCell ref="Z4:AC4"/>
    <mergeCell ref="C5:F5"/>
    <mergeCell ref="G5:H5"/>
  </mergeCells>
  <conditionalFormatting sqref="C9:O9">
    <cfRule type="cellIs" priority="1" dxfId="20" operator="equal">
      <formula>" "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G5" sqref="G5:H5"/>
    </sheetView>
  </sheetViews>
  <sheetFormatPr defaultColWidth="0" defaultRowHeight="0" customHeight="1" zeroHeight="1"/>
  <cols>
    <col min="1" max="30" width="3.7109375" style="0" customWidth="1"/>
    <col min="31" max="31" width="0.13671875" style="0" customWidth="1"/>
    <col min="32" max="16384" width="3.7109375" style="0" hidden="1" customWidth="1"/>
  </cols>
  <sheetData>
    <row r="1" spans="1:31" ht="1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 thickBot="1">
      <c r="A2" s="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157" t="s">
        <v>0</v>
      </c>
      <c r="S2" s="158"/>
      <c r="T2" s="158"/>
      <c r="U2" s="159"/>
      <c r="V2" s="157" t="s">
        <v>1</v>
      </c>
      <c r="W2" s="158"/>
      <c r="X2" s="158"/>
      <c r="Y2" s="159"/>
      <c r="Z2" s="157" t="s">
        <v>2</v>
      </c>
      <c r="AA2" s="158"/>
      <c r="AB2" s="158"/>
      <c r="AC2" s="159"/>
      <c r="AD2" s="19"/>
      <c r="AE2" s="9"/>
    </row>
    <row r="3" spans="1:31" ht="15" customHeight="1" thickBot="1">
      <c r="A3" s="9"/>
      <c r="B3" s="5"/>
      <c r="C3" s="185"/>
      <c r="D3" s="185"/>
      <c r="E3" s="185"/>
      <c r="F3" s="185"/>
      <c r="G3" s="142" t="s">
        <v>4</v>
      </c>
      <c r="H3" s="163"/>
      <c r="I3" s="129" t="s">
        <v>5</v>
      </c>
      <c r="J3" s="132"/>
      <c r="K3" s="133"/>
      <c r="L3" s="4"/>
      <c r="M3" s="164">
        <f>IF('[1] '!$O$10=100,4!N30+100,IF('[1] '!$O$10=200,4!N30-200,4!N30))</f>
        <v>25</v>
      </c>
      <c r="N3" s="165"/>
      <c r="O3" s="166"/>
      <c r="P3" s="7"/>
      <c r="Q3" s="8"/>
      <c r="R3" s="167" t="str">
        <f>1!R3:U3</f>
        <v>vandaag is</v>
      </c>
      <c r="S3" s="168"/>
      <c r="T3" s="168"/>
      <c r="U3" s="168"/>
      <c r="V3" s="167" t="str">
        <f>1!V3:Y3</f>
        <v>er is geen</v>
      </c>
      <c r="W3" s="168"/>
      <c r="X3" s="168"/>
      <c r="Y3" s="169"/>
      <c r="Z3" s="170" t="str">
        <f>1!Z3:AC3</f>
        <v>de ijsprijs is</v>
      </c>
      <c r="AA3" s="168"/>
      <c r="AB3" s="168"/>
      <c r="AC3" s="169"/>
      <c r="AD3" s="20"/>
      <c r="AE3" s="9"/>
    </row>
    <row r="4" spans="1:31" ht="15" customHeight="1" thickBot="1">
      <c r="A4" s="9"/>
      <c r="B4" s="5"/>
      <c r="C4" s="136" t="s">
        <v>6</v>
      </c>
      <c r="D4" s="137"/>
      <c r="E4" s="137"/>
      <c r="F4" s="143"/>
      <c r="G4" s="174">
        <v>5</v>
      </c>
      <c r="H4" s="175"/>
      <c r="I4" s="151"/>
      <c r="J4" s="151"/>
      <c r="K4" s="151"/>
      <c r="L4" s="4"/>
      <c r="M4" s="9"/>
      <c r="N4" s="9"/>
      <c r="O4" s="9"/>
      <c r="P4" s="10"/>
      <c r="Q4" s="8"/>
      <c r="R4" s="122" t="str">
        <f>1!R4:U4</f>
        <v>het tamelijk</v>
      </c>
      <c r="S4" s="120"/>
      <c r="T4" s="120"/>
      <c r="U4" s="120"/>
      <c r="V4" s="122" t="str">
        <f>1!V4:Y4</f>
        <v>waarschuwing</v>
      </c>
      <c r="W4" s="120"/>
      <c r="X4" s="120"/>
      <c r="Y4" s="121"/>
      <c r="Z4" s="119" t="str">
        <f>1!Z4:AC4</f>
        <v>vandaag</v>
      </c>
      <c r="AA4" s="120"/>
      <c r="AB4" s="120"/>
      <c r="AC4" s="121"/>
      <c r="AD4" s="20"/>
      <c r="AE4" s="9"/>
    </row>
    <row r="5" spans="1:31" ht="15" customHeight="1" thickBot="1">
      <c r="A5" s="9"/>
      <c r="B5" s="5"/>
      <c r="C5" s="129" t="s">
        <v>7</v>
      </c>
      <c r="D5" s="132"/>
      <c r="E5" s="132"/>
      <c r="F5" s="132"/>
      <c r="G5" s="154">
        <v>0</v>
      </c>
      <c r="H5" s="155"/>
      <c r="I5" s="156"/>
      <c r="J5" s="156"/>
      <c r="K5" s="156"/>
      <c r="L5" s="8"/>
      <c r="M5" s="9"/>
      <c r="N5" s="9"/>
      <c r="O5" s="9"/>
      <c r="P5" s="10"/>
      <c r="Q5" s="11"/>
      <c r="R5" s="122" t="str">
        <f>1!R5:U5</f>
        <v>bewolkt</v>
      </c>
      <c r="S5" s="120"/>
      <c r="T5" s="120"/>
      <c r="U5" s="120"/>
      <c r="V5" s="122" t="str">
        <f>1!V5:Y5</f>
        <v>voor vandaag</v>
      </c>
      <c r="W5" s="120"/>
      <c r="X5" s="120"/>
      <c r="Y5" s="121"/>
      <c r="Z5" s="119" t="str">
        <f>1!Z5:AC5</f>
        <v>erg laag</v>
      </c>
      <c r="AA5" s="120"/>
      <c r="AB5" s="120"/>
      <c r="AC5" s="121"/>
      <c r="AD5" s="20"/>
      <c r="AE5" s="9"/>
    </row>
    <row r="6" spans="1:31" ht="15" customHeight="1" thickBot="1">
      <c r="A6" s="9"/>
      <c r="B6" s="5"/>
      <c r="C6" s="136" t="s">
        <v>8</v>
      </c>
      <c r="D6" s="137"/>
      <c r="E6" s="137"/>
      <c r="F6" s="137"/>
      <c r="G6" s="138">
        <v>0</v>
      </c>
      <c r="H6" s="139"/>
      <c r="I6" s="140">
        <f>1!I6</f>
        <v>0.39</v>
      </c>
      <c r="J6" s="140"/>
      <c r="K6" s="141"/>
      <c r="L6" s="8"/>
      <c r="M6" s="142"/>
      <c r="N6" s="142"/>
      <c r="O6" s="142"/>
      <c r="P6" s="7"/>
      <c r="Q6" s="8"/>
      <c r="R6" s="122" t="str">
        <f>1!R6:U6</f>
        <v>met windkracht</v>
      </c>
      <c r="S6" s="120"/>
      <c r="T6" s="120"/>
      <c r="U6" s="120"/>
      <c r="V6" s="122" t="str">
        <f>1!V6:Y6</f>
        <v>of morgen</v>
      </c>
      <c r="W6" s="120"/>
      <c r="X6" s="120"/>
      <c r="Y6" s="121"/>
      <c r="Z6" s="119" t="str">
        <f>1!Z6:AC6</f>
        <v>namelijk</v>
      </c>
      <c r="AA6" s="120"/>
      <c r="AB6" s="120"/>
      <c r="AC6" s="121"/>
      <c r="AD6" s="20"/>
      <c r="AE6" s="9"/>
    </row>
    <row r="7" spans="1:31" ht="15" customHeight="1" thickBot="1">
      <c r="A7" s="9"/>
      <c r="B7" s="5"/>
      <c r="C7" s="147" t="s">
        <v>9</v>
      </c>
      <c r="D7" s="148"/>
      <c r="E7" s="148"/>
      <c r="F7" s="148"/>
      <c r="G7" s="149">
        <v>0</v>
      </c>
      <c r="H7" s="150"/>
      <c r="I7" s="151"/>
      <c r="J7" s="151"/>
      <c r="K7" s="151"/>
      <c r="L7" s="12"/>
      <c r="M7" s="142"/>
      <c r="N7" s="142"/>
      <c r="O7" s="142"/>
      <c r="P7" s="7"/>
      <c r="Q7" s="12"/>
      <c r="R7" s="122">
        <f>1!R7:U7</f>
        <v>19</v>
      </c>
      <c r="S7" s="120"/>
      <c r="T7" s="120"/>
      <c r="U7" s="120"/>
      <c r="V7" s="122" t="str">
        <f>1!V7:Y7</f>
        <v>bekend</v>
      </c>
      <c r="W7" s="120"/>
      <c r="X7" s="120"/>
      <c r="Y7" s="121"/>
      <c r="Z7" s="177">
        <f>1!I6</f>
        <v>0.39</v>
      </c>
      <c r="AA7" s="177"/>
      <c r="AB7" s="134" t="s">
        <v>10</v>
      </c>
      <c r="AC7" s="135"/>
      <c r="AD7" s="21"/>
      <c r="AE7" s="9"/>
    </row>
    <row r="8" spans="1:31" ht="15" customHeight="1" thickBot="1">
      <c r="A8" s="9"/>
      <c r="B8" s="5"/>
      <c r="C8" s="136" t="s">
        <v>11</v>
      </c>
      <c r="D8" s="137"/>
      <c r="E8" s="137"/>
      <c r="F8" s="143"/>
      <c r="G8" s="144">
        <v>0</v>
      </c>
      <c r="H8" s="145"/>
      <c r="I8" s="146">
        <f>1!I8</f>
        <v>5</v>
      </c>
      <c r="J8" s="140"/>
      <c r="K8" s="141"/>
      <c r="L8" s="4"/>
      <c r="M8" s="142"/>
      <c r="N8" s="142"/>
      <c r="O8" s="142"/>
      <c r="P8" s="7"/>
      <c r="Q8" s="13"/>
      <c r="R8" s="122" t="str">
        <f>1!R8:U8</f>
        <v> </v>
      </c>
      <c r="S8" s="120"/>
      <c r="T8" s="120"/>
      <c r="U8" s="120"/>
      <c r="V8" s="122" t="str">
        <f>1!V8:Y8</f>
        <v> </v>
      </c>
      <c r="W8" s="120"/>
      <c r="X8" s="120"/>
      <c r="Y8" s="121"/>
      <c r="Z8" s="119" t="str">
        <f>1!Z8:AC8</f>
        <v>per stuk</v>
      </c>
      <c r="AA8" s="120"/>
      <c r="AB8" s="120"/>
      <c r="AC8" s="121"/>
      <c r="AD8" s="20"/>
      <c r="AE8" s="9"/>
    </row>
    <row r="9" spans="1:31" ht="15" customHeight="1" thickBot="1">
      <c r="A9" s="9"/>
      <c r="B9" s="5"/>
      <c r="C9" s="180" t="str">
        <f>' '!AX32</f>
        <v> </v>
      </c>
      <c r="D9" s="181"/>
      <c r="E9" s="181"/>
      <c r="F9" s="181"/>
      <c r="G9" s="182"/>
      <c r="H9" s="182"/>
      <c r="I9" s="181"/>
      <c r="J9" s="181"/>
      <c r="K9" s="181"/>
      <c r="L9" s="181"/>
      <c r="M9" s="183"/>
      <c r="N9" s="183"/>
      <c r="O9" s="184"/>
      <c r="P9" s="7"/>
      <c r="Q9" s="4"/>
      <c r="R9" s="122" t="str">
        <f>1!R9:U9</f>
        <v> </v>
      </c>
      <c r="S9" s="120"/>
      <c r="T9" s="120"/>
      <c r="U9" s="120"/>
      <c r="V9" s="122" t="str">
        <f>1!V9:Y9</f>
        <v> </v>
      </c>
      <c r="W9" s="120"/>
      <c r="X9" s="120"/>
      <c r="Y9" s="121"/>
      <c r="Z9" s="119" t="str">
        <f>1!Z9:AC9</f>
        <v> </v>
      </c>
      <c r="AA9" s="120"/>
      <c r="AB9" s="120"/>
      <c r="AC9" s="121"/>
      <c r="AD9" s="20"/>
      <c r="AE9" s="9"/>
    </row>
    <row r="10" spans="1:31" ht="15" customHeight="1" thickBot="1">
      <c r="A10" s="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6"/>
      <c r="N10" s="6"/>
      <c r="O10" s="15"/>
      <c r="P10" s="16"/>
      <c r="Q10" s="4"/>
      <c r="R10" s="125" t="str">
        <f>1!R10:U10</f>
        <v> </v>
      </c>
      <c r="S10" s="126"/>
      <c r="T10" s="126"/>
      <c r="U10" s="126"/>
      <c r="V10" s="125" t="str">
        <f>1!V10:Y10</f>
        <v> </v>
      </c>
      <c r="W10" s="126"/>
      <c r="X10" s="126"/>
      <c r="Y10" s="127"/>
      <c r="Z10" s="128" t="str">
        <f>1!Z10:AC10</f>
        <v> </v>
      </c>
      <c r="AA10" s="126"/>
      <c r="AB10" s="126"/>
      <c r="AC10" s="127"/>
      <c r="AD10" s="20"/>
      <c r="AE10" s="9"/>
    </row>
    <row r="11" spans="1:3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8"/>
      <c r="AA12" s="118"/>
      <c r="AB12" s="118"/>
      <c r="AC12" s="118"/>
      <c r="AD12" s="17"/>
      <c r="AE12" s="9"/>
    </row>
    <row r="13" spans="1:3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18"/>
      <c r="AA13" s="118"/>
      <c r="AB13" s="118"/>
      <c r="AC13" s="118"/>
      <c r="AD13" s="17"/>
      <c r="AE13" s="9"/>
    </row>
    <row r="14" spans="1:31" ht="15" customHeight="1">
      <c r="A14" s="9"/>
      <c r="B14" s="9"/>
      <c r="C14" s="25"/>
      <c r="D14" s="25"/>
      <c r="E14" s="25"/>
      <c r="F14" s="25"/>
      <c r="G14" s="25"/>
      <c r="H14" s="25"/>
      <c r="I14" s="25"/>
      <c r="J14" s="2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5" customHeight="1">
      <c r="A15" s="9"/>
      <c r="B15" s="9"/>
      <c r="C15" s="25"/>
      <c r="D15" s="25"/>
      <c r="E15" s="25"/>
      <c r="F15" s="25"/>
      <c r="G15" s="25"/>
      <c r="H15" s="25"/>
      <c r="I15" s="25"/>
      <c r="J15" s="2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>
      <c r="A16" s="9"/>
      <c r="B16" s="9"/>
      <c r="C16" s="25"/>
      <c r="D16" s="25"/>
      <c r="E16" s="25"/>
      <c r="F16" s="25"/>
      <c r="G16" s="25"/>
      <c r="H16" s="25"/>
      <c r="I16" s="25"/>
      <c r="J16" s="2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>
      <c r="A17" s="9"/>
      <c r="B17" s="9"/>
      <c r="C17" s="25"/>
      <c r="D17" s="25"/>
      <c r="E17" s="25"/>
      <c r="F17" s="25"/>
      <c r="G17" s="25"/>
      <c r="H17" s="25"/>
      <c r="I17" s="25"/>
      <c r="J17" s="2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>
      <c r="A18" s="9"/>
      <c r="B18" s="9"/>
      <c r="C18" s="25"/>
      <c r="D18" s="25"/>
      <c r="E18" s="25"/>
      <c r="F18" s="25"/>
      <c r="G18" s="25"/>
      <c r="H18" s="25"/>
      <c r="I18" s="25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>
      <c r="A19" s="9"/>
      <c r="B19" s="9"/>
      <c r="C19" s="25"/>
      <c r="D19" s="25"/>
      <c r="E19" s="25"/>
      <c r="F19" s="25"/>
      <c r="G19" s="25"/>
      <c r="H19" s="25"/>
      <c r="I19" s="25"/>
      <c r="J19" s="2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 customHeight="1">
      <c r="A20" s="9"/>
      <c r="B20" s="9"/>
      <c r="C20" s="25"/>
      <c r="D20" s="25"/>
      <c r="E20" s="25"/>
      <c r="F20" s="25"/>
      <c r="G20" s="25"/>
      <c r="H20" s="25"/>
      <c r="I20" s="25"/>
      <c r="J20" s="2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 customHeight="1">
      <c r="A21" s="9"/>
      <c r="B21" s="9"/>
      <c r="C21" s="25"/>
      <c r="D21" s="25"/>
      <c r="E21" s="25"/>
      <c r="F21" s="25"/>
      <c r="G21" s="25"/>
      <c r="H21" s="25"/>
      <c r="I21" s="25"/>
      <c r="J21" s="2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" customHeight="1">
      <c r="A22" s="9"/>
      <c r="B22" s="9"/>
      <c r="C22" s="25"/>
      <c r="D22" s="25"/>
      <c r="E22" s="25"/>
      <c r="F22" s="25"/>
      <c r="G22" s="25"/>
      <c r="H22" s="25"/>
      <c r="I22" s="25"/>
      <c r="J22" s="2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>
      <c r="A23" s="9"/>
      <c r="B23" s="9"/>
      <c r="C23" s="25"/>
      <c r="D23" s="25"/>
      <c r="E23" s="25"/>
      <c r="F23" s="25"/>
      <c r="G23" s="25"/>
      <c r="H23" s="25"/>
      <c r="I23" s="25"/>
      <c r="J23" s="2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>
      <c r="A24" s="9"/>
      <c r="B24" s="9"/>
      <c r="C24" s="25"/>
      <c r="D24" s="25"/>
      <c r="E24" s="25"/>
      <c r="F24" s="25"/>
      <c r="G24" s="25"/>
      <c r="H24" s="25"/>
      <c r="I24" s="25"/>
      <c r="J24" s="2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>
      <c r="A25" s="9"/>
      <c r="B25" s="9"/>
      <c r="C25" s="25"/>
      <c r="D25" s="25"/>
      <c r="E25" s="25"/>
      <c r="F25" s="25"/>
      <c r="G25" s="25"/>
      <c r="H25" s="25"/>
      <c r="I25" s="25"/>
      <c r="J25" s="2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 customHeight="1">
      <c r="A26" s="9"/>
      <c r="B26" s="9"/>
      <c r="C26" s="25"/>
      <c r="D26" s="25"/>
      <c r="E26" s="25"/>
      <c r="F26" s="25"/>
      <c r="G26" s="25"/>
      <c r="H26" s="25"/>
      <c r="I26" s="25"/>
      <c r="J26" s="2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customHeight="1">
      <c r="A27" s="9"/>
      <c r="B27" s="9"/>
      <c r="C27" s="25"/>
      <c r="D27" s="25"/>
      <c r="E27" s="25"/>
      <c r="F27" s="25"/>
      <c r="G27" s="25"/>
      <c r="H27" s="25"/>
      <c r="I27" s="25"/>
      <c r="J27" s="2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customHeight="1" hidden="1">
      <c r="A28" s="9"/>
      <c r="B28" s="9"/>
      <c r="C28" s="26"/>
      <c r="D28" s="26" t="s">
        <v>25</v>
      </c>
      <c r="E28" s="26" t="s">
        <v>8</v>
      </c>
      <c r="F28" s="26" t="s">
        <v>9</v>
      </c>
      <c r="G28" s="46" t="s">
        <v>11</v>
      </c>
      <c r="H28" s="26" t="s">
        <v>4</v>
      </c>
      <c r="I28" s="25"/>
      <c r="J28" s="25"/>
      <c r="K28" s="43" t="s">
        <v>20</v>
      </c>
      <c r="L28" s="43" t="s">
        <v>21</v>
      </c>
      <c r="M28" s="43" t="s">
        <v>19</v>
      </c>
      <c r="N28" s="43" t="s">
        <v>22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" customHeight="1" hidden="1">
      <c r="A29" s="9"/>
      <c r="B29" s="23">
        <f>IF(G5=0,4!B29,G4)</f>
        <v>1</v>
      </c>
      <c r="C29" s="18"/>
      <c r="D29" s="22">
        <f>IF(G5=0,4!D29,G5)</f>
        <v>0</v>
      </c>
      <c r="E29" s="22">
        <f>IF(G6=0,4!E29,G6)</f>
        <v>0</v>
      </c>
      <c r="F29" s="24">
        <f>IF(G7=0,4!F29,G7)</f>
        <v>0</v>
      </c>
      <c r="G29" s="22">
        <f>IF(G8=0,4!G29,G8)</f>
        <v>0</v>
      </c>
      <c r="H29" s="9"/>
      <c r="I29" s="9"/>
      <c r="J29" s="9"/>
      <c r="K29" s="9">
        <v>368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" customHeight="1" hidden="1">
      <c r="A30" s="9"/>
      <c r="B30" s="23">
        <f>IF(G5&gt;0,G4,4!B30)</f>
        <v>1</v>
      </c>
      <c r="C30" s="9"/>
      <c r="D30" s="9"/>
      <c r="E30" s="9"/>
      <c r="F30" s="9"/>
      <c r="G30" s="9"/>
      <c r="H30" s="9"/>
      <c r="I30" s="9"/>
      <c r="J30" s="9"/>
      <c r="K30" s="42">
        <f>IF(G6&lt;K29,G6,((G6/100)*(90+plus)))</f>
        <v>0</v>
      </c>
      <c r="L30" s="18">
        <f>Z7+0.4</f>
        <v>0.79</v>
      </c>
      <c r="M30" s="9">
        <f>IF(G7&gt;L30,(L30-(G7/100)*90),G7)</f>
        <v>0</v>
      </c>
      <c r="N30" s="9">
        <f>((M30*K30)+4!N30-(G8*I8))+' '!BA33</f>
        <v>25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.5" customHeight="1">
      <c r="A31" s="9"/>
      <c r="B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</sheetData>
  <sheetProtection password="E72E" sheet="1" objects="1" scenarios="1" selectLockedCells="1"/>
  <mergeCells count="53">
    <mergeCell ref="Z12:AC12"/>
    <mergeCell ref="Z13:AC13"/>
    <mergeCell ref="Z8:AC8"/>
    <mergeCell ref="R9:U9"/>
    <mergeCell ref="V9:Y9"/>
    <mergeCell ref="Z9:AC9"/>
    <mergeCell ref="R10:U10"/>
    <mergeCell ref="V10:Y10"/>
    <mergeCell ref="Z10:AC10"/>
    <mergeCell ref="V8:Y8"/>
    <mergeCell ref="C8:F8"/>
    <mergeCell ref="G8:H8"/>
    <mergeCell ref="I8:K8"/>
    <mergeCell ref="M8:O8"/>
    <mergeCell ref="R8:U8"/>
    <mergeCell ref="AB7:AC7"/>
    <mergeCell ref="C6:F6"/>
    <mergeCell ref="G6:H6"/>
    <mergeCell ref="I6:K6"/>
    <mergeCell ref="M6:O6"/>
    <mergeCell ref="R6:U6"/>
    <mergeCell ref="V6:Y6"/>
    <mergeCell ref="Z6:AC6"/>
    <mergeCell ref="C7:F7"/>
    <mergeCell ref="G7:H7"/>
    <mergeCell ref="I7:K7"/>
    <mergeCell ref="M7:O7"/>
    <mergeCell ref="C9:O9"/>
    <mergeCell ref="R2:U2"/>
    <mergeCell ref="V2:Y2"/>
    <mergeCell ref="Z2:AC2"/>
    <mergeCell ref="C3:F3"/>
    <mergeCell ref="G3:H3"/>
    <mergeCell ref="I3:K3"/>
    <mergeCell ref="M3:O3"/>
    <mergeCell ref="R3:U3"/>
    <mergeCell ref="V3:Y3"/>
    <mergeCell ref="I5:K5"/>
    <mergeCell ref="R5:U5"/>
    <mergeCell ref="V5:Y5"/>
    <mergeCell ref="R7:U7"/>
    <mergeCell ref="V7:Y7"/>
    <mergeCell ref="Z7:AA7"/>
    <mergeCell ref="Z3:AC3"/>
    <mergeCell ref="Z5:AC5"/>
    <mergeCell ref="C4:F4"/>
    <mergeCell ref="G4:H4"/>
    <mergeCell ref="I4:K4"/>
    <mergeCell ref="R4:U4"/>
    <mergeCell ref="V4:Y4"/>
    <mergeCell ref="Z4:AC4"/>
    <mergeCell ref="C5:F5"/>
    <mergeCell ref="G5:H5"/>
  </mergeCells>
  <conditionalFormatting sqref="C9:O9">
    <cfRule type="cellIs" priority="1" dxfId="20" operator="equal">
      <formula>" "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G5" sqref="G5:H5"/>
    </sheetView>
  </sheetViews>
  <sheetFormatPr defaultColWidth="0" defaultRowHeight="0" customHeight="1" zeroHeight="1"/>
  <cols>
    <col min="1" max="30" width="3.7109375" style="0" customWidth="1"/>
    <col min="31" max="31" width="0.13671875" style="0" customWidth="1"/>
    <col min="32" max="16384" width="3.7109375" style="0" hidden="1" customWidth="1"/>
  </cols>
  <sheetData>
    <row r="1" spans="1:31" ht="1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 thickBot="1">
      <c r="A2" s="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157" t="s">
        <v>0</v>
      </c>
      <c r="S2" s="158"/>
      <c r="T2" s="158"/>
      <c r="U2" s="159"/>
      <c r="V2" s="157" t="s">
        <v>1</v>
      </c>
      <c r="W2" s="158"/>
      <c r="X2" s="158"/>
      <c r="Y2" s="159"/>
      <c r="Z2" s="157" t="s">
        <v>2</v>
      </c>
      <c r="AA2" s="158"/>
      <c r="AB2" s="158"/>
      <c r="AC2" s="159"/>
      <c r="AD2" s="19"/>
      <c r="AE2" s="9"/>
    </row>
    <row r="3" spans="1:31" ht="15" customHeight="1" thickBot="1">
      <c r="A3" s="9"/>
      <c r="B3" s="5"/>
      <c r="C3" s="185"/>
      <c r="D3" s="185"/>
      <c r="E3" s="185"/>
      <c r="F3" s="185"/>
      <c r="G3" s="142" t="s">
        <v>4</v>
      </c>
      <c r="H3" s="163"/>
      <c r="I3" s="129" t="s">
        <v>5</v>
      </c>
      <c r="J3" s="132"/>
      <c r="K3" s="133"/>
      <c r="L3" s="4"/>
      <c r="M3" s="164">
        <f>IF('[1] '!$O$10=100,5!N30+100,IF('[1] '!$O$10=200,5!N30-200,5!N30))</f>
        <v>25</v>
      </c>
      <c r="N3" s="165"/>
      <c r="O3" s="166"/>
      <c r="P3" s="7"/>
      <c r="Q3" s="8"/>
      <c r="R3" s="167" t="str">
        <f>1!R3:U3</f>
        <v>vandaag is</v>
      </c>
      <c r="S3" s="168"/>
      <c r="T3" s="168"/>
      <c r="U3" s="168"/>
      <c r="V3" s="167" t="str">
        <f>1!V3:Y3</f>
        <v>er is geen</v>
      </c>
      <c r="W3" s="168"/>
      <c r="X3" s="168"/>
      <c r="Y3" s="169"/>
      <c r="Z3" s="170" t="str">
        <f>1!Z3:AC3</f>
        <v>de ijsprijs is</v>
      </c>
      <c r="AA3" s="168"/>
      <c r="AB3" s="168"/>
      <c r="AC3" s="169"/>
      <c r="AD3" s="20"/>
      <c r="AE3" s="9"/>
    </row>
    <row r="4" spans="1:31" ht="15" customHeight="1" thickBot="1">
      <c r="A4" s="9"/>
      <c r="B4" s="5"/>
      <c r="C4" s="136" t="s">
        <v>6</v>
      </c>
      <c r="D4" s="137"/>
      <c r="E4" s="137"/>
      <c r="F4" s="143"/>
      <c r="G4" s="174">
        <v>6</v>
      </c>
      <c r="H4" s="175"/>
      <c r="I4" s="151"/>
      <c r="J4" s="151"/>
      <c r="K4" s="151"/>
      <c r="L4" s="4"/>
      <c r="M4" s="9"/>
      <c r="N4" s="9"/>
      <c r="O4" s="9"/>
      <c r="P4" s="10"/>
      <c r="Q4" s="8"/>
      <c r="R4" s="122" t="str">
        <f>1!R4:U4</f>
        <v>het tamelijk</v>
      </c>
      <c r="S4" s="120"/>
      <c r="T4" s="120"/>
      <c r="U4" s="120"/>
      <c r="V4" s="122" t="str">
        <f>1!V4:Y4</f>
        <v>waarschuwing</v>
      </c>
      <c r="W4" s="120"/>
      <c r="X4" s="120"/>
      <c r="Y4" s="121"/>
      <c r="Z4" s="119" t="str">
        <f>1!Z4:AC4</f>
        <v>vandaag</v>
      </c>
      <c r="AA4" s="120"/>
      <c r="AB4" s="120"/>
      <c r="AC4" s="121"/>
      <c r="AD4" s="20"/>
      <c r="AE4" s="9"/>
    </row>
    <row r="5" spans="1:31" ht="15" customHeight="1" thickBot="1">
      <c r="A5" s="9"/>
      <c r="B5" s="5"/>
      <c r="C5" s="129" t="s">
        <v>7</v>
      </c>
      <c r="D5" s="132"/>
      <c r="E5" s="132"/>
      <c r="F5" s="132"/>
      <c r="G5" s="154">
        <v>0</v>
      </c>
      <c r="H5" s="155"/>
      <c r="I5" s="156"/>
      <c r="J5" s="156"/>
      <c r="K5" s="156"/>
      <c r="L5" s="8"/>
      <c r="M5" s="9"/>
      <c r="N5" s="9"/>
      <c r="O5" s="9"/>
      <c r="P5" s="10"/>
      <c r="Q5" s="11"/>
      <c r="R5" s="122" t="str">
        <f>1!R5:U5</f>
        <v>bewolkt</v>
      </c>
      <c r="S5" s="120"/>
      <c r="T5" s="120"/>
      <c r="U5" s="120"/>
      <c r="V5" s="122" t="str">
        <f>1!V5:Y5</f>
        <v>voor vandaag</v>
      </c>
      <c r="W5" s="120"/>
      <c r="X5" s="120"/>
      <c r="Y5" s="121"/>
      <c r="Z5" s="119" t="str">
        <f>1!Z5:AC5</f>
        <v>erg laag</v>
      </c>
      <c r="AA5" s="120"/>
      <c r="AB5" s="120"/>
      <c r="AC5" s="121"/>
      <c r="AD5" s="20"/>
      <c r="AE5" s="9"/>
    </row>
    <row r="6" spans="1:31" ht="15" customHeight="1" thickBot="1">
      <c r="A6" s="9"/>
      <c r="B6" s="5"/>
      <c r="C6" s="136" t="s">
        <v>8</v>
      </c>
      <c r="D6" s="137"/>
      <c r="E6" s="137"/>
      <c r="F6" s="137"/>
      <c r="G6" s="138">
        <v>0</v>
      </c>
      <c r="H6" s="139"/>
      <c r="I6" s="140">
        <f>1!I6</f>
        <v>0.39</v>
      </c>
      <c r="J6" s="140"/>
      <c r="K6" s="141"/>
      <c r="L6" s="8"/>
      <c r="M6" s="142"/>
      <c r="N6" s="142"/>
      <c r="O6" s="142"/>
      <c r="P6" s="7"/>
      <c r="Q6" s="8"/>
      <c r="R6" s="122" t="str">
        <f>1!R6:U6</f>
        <v>met windkracht</v>
      </c>
      <c r="S6" s="120"/>
      <c r="T6" s="120"/>
      <c r="U6" s="120"/>
      <c r="V6" s="122" t="str">
        <f>1!V6:Y6</f>
        <v>of morgen</v>
      </c>
      <c r="W6" s="120"/>
      <c r="X6" s="120"/>
      <c r="Y6" s="121"/>
      <c r="Z6" s="119" t="str">
        <f>1!Z6:AC6</f>
        <v>namelijk</v>
      </c>
      <c r="AA6" s="120"/>
      <c r="AB6" s="120"/>
      <c r="AC6" s="121"/>
      <c r="AD6" s="20"/>
      <c r="AE6" s="9"/>
    </row>
    <row r="7" spans="1:31" ht="15" customHeight="1" thickBot="1">
      <c r="A7" s="9"/>
      <c r="B7" s="5"/>
      <c r="C7" s="147" t="s">
        <v>9</v>
      </c>
      <c r="D7" s="148"/>
      <c r="E7" s="148"/>
      <c r="F7" s="148"/>
      <c r="G7" s="149">
        <v>0</v>
      </c>
      <c r="H7" s="150"/>
      <c r="I7" s="151"/>
      <c r="J7" s="151"/>
      <c r="K7" s="151"/>
      <c r="L7" s="12"/>
      <c r="M7" s="142"/>
      <c r="N7" s="142"/>
      <c r="O7" s="142"/>
      <c r="P7" s="7"/>
      <c r="Q7" s="12"/>
      <c r="R7" s="122">
        <f>1!R7:U7</f>
        <v>19</v>
      </c>
      <c r="S7" s="120"/>
      <c r="T7" s="120"/>
      <c r="U7" s="120"/>
      <c r="V7" s="122" t="str">
        <f>1!V7:Y7</f>
        <v>bekend</v>
      </c>
      <c r="W7" s="120"/>
      <c r="X7" s="120"/>
      <c r="Y7" s="121"/>
      <c r="Z7" s="177">
        <f>1!I6</f>
        <v>0.39</v>
      </c>
      <c r="AA7" s="177"/>
      <c r="AB7" s="134" t="s">
        <v>10</v>
      </c>
      <c r="AC7" s="135"/>
      <c r="AD7" s="21"/>
      <c r="AE7" s="9"/>
    </row>
    <row r="8" spans="1:31" ht="15" customHeight="1" thickBot="1">
      <c r="A8" s="9"/>
      <c r="B8" s="5"/>
      <c r="C8" s="136" t="s">
        <v>11</v>
      </c>
      <c r="D8" s="137"/>
      <c r="E8" s="137"/>
      <c r="F8" s="143"/>
      <c r="G8" s="144">
        <v>0</v>
      </c>
      <c r="H8" s="145"/>
      <c r="I8" s="146">
        <f>1!I8</f>
        <v>5</v>
      </c>
      <c r="J8" s="140"/>
      <c r="K8" s="141"/>
      <c r="L8" s="4"/>
      <c r="M8" s="142"/>
      <c r="N8" s="142"/>
      <c r="O8" s="142"/>
      <c r="P8" s="7"/>
      <c r="Q8" s="13"/>
      <c r="R8" s="122" t="str">
        <f>1!R8:U8</f>
        <v> </v>
      </c>
      <c r="S8" s="120"/>
      <c r="T8" s="120"/>
      <c r="U8" s="120"/>
      <c r="V8" s="122" t="str">
        <f>1!V8:Y8</f>
        <v> </v>
      </c>
      <c r="W8" s="120"/>
      <c r="X8" s="120"/>
      <c r="Y8" s="121"/>
      <c r="Z8" s="119" t="str">
        <f>1!Z8:AC8</f>
        <v>per stuk</v>
      </c>
      <c r="AA8" s="120"/>
      <c r="AB8" s="120"/>
      <c r="AC8" s="121"/>
      <c r="AD8" s="20"/>
      <c r="AE8" s="9"/>
    </row>
    <row r="9" spans="1:31" ht="15" customHeight="1" thickBot="1">
      <c r="A9" s="9"/>
      <c r="B9" s="5"/>
      <c r="C9" s="180" t="str">
        <f>' '!AX33</f>
        <v> </v>
      </c>
      <c r="D9" s="181"/>
      <c r="E9" s="181"/>
      <c r="F9" s="181"/>
      <c r="G9" s="182"/>
      <c r="H9" s="182"/>
      <c r="I9" s="181"/>
      <c r="J9" s="181"/>
      <c r="K9" s="181"/>
      <c r="L9" s="181"/>
      <c r="M9" s="183"/>
      <c r="N9" s="183"/>
      <c r="O9" s="184"/>
      <c r="P9" s="7"/>
      <c r="Q9" s="4"/>
      <c r="R9" s="122" t="str">
        <f>1!R9:U9</f>
        <v> </v>
      </c>
      <c r="S9" s="120"/>
      <c r="T9" s="120"/>
      <c r="U9" s="120"/>
      <c r="V9" s="122" t="str">
        <f>1!V9:Y9</f>
        <v> </v>
      </c>
      <c r="W9" s="120"/>
      <c r="X9" s="120"/>
      <c r="Y9" s="121"/>
      <c r="Z9" s="119" t="str">
        <f>1!Z9:AC9</f>
        <v> </v>
      </c>
      <c r="AA9" s="120"/>
      <c r="AB9" s="120"/>
      <c r="AC9" s="121"/>
      <c r="AD9" s="20"/>
      <c r="AE9" s="9"/>
    </row>
    <row r="10" spans="1:31" ht="15" customHeight="1" thickBot="1">
      <c r="A10" s="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6"/>
      <c r="N10" s="6"/>
      <c r="O10" s="15"/>
      <c r="P10" s="16"/>
      <c r="Q10" s="4"/>
      <c r="R10" s="125" t="str">
        <f>1!R10:U10</f>
        <v> </v>
      </c>
      <c r="S10" s="126"/>
      <c r="T10" s="126"/>
      <c r="U10" s="126"/>
      <c r="V10" s="125" t="str">
        <f>1!V10:Y10</f>
        <v> </v>
      </c>
      <c r="W10" s="126"/>
      <c r="X10" s="126"/>
      <c r="Y10" s="127"/>
      <c r="Z10" s="128" t="str">
        <f>1!Z10:AC10</f>
        <v> </v>
      </c>
      <c r="AA10" s="126"/>
      <c r="AB10" s="126"/>
      <c r="AC10" s="127"/>
      <c r="AD10" s="20"/>
      <c r="AE10" s="9"/>
    </row>
    <row r="11" spans="1:3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8"/>
      <c r="AA12" s="118"/>
      <c r="AB12" s="118"/>
      <c r="AC12" s="118"/>
      <c r="AD12" s="17"/>
      <c r="AE12" s="9"/>
    </row>
    <row r="13" spans="1:3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18"/>
      <c r="AA13" s="118"/>
      <c r="AB13" s="118"/>
      <c r="AC13" s="118"/>
      <c r="AD13" s="17"/>
      <c r="AE13" s="9"/>
    </row>
    <row r="14" spans="1:31" ht="15" customHeight="1">
      <c r="A14" s="9"/>
      <c r="B14" s="9"/>
      <c r="C14" s="25"/>
      <c r="D14" s="25"/>
      <c r="E14" s="25"/>
      <c r="F14" s="25"/>
      <c r="G14" s="25"/>
      <c r="H14" s="25"/>
      <c r="I14" s="25"/>
      <c r="J14" s="2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5" customHeight="1">
      <c r="A15" s="9"/>
      <c r="B15" s="9"/>
      <c r="C15" s="25"/>
      <c r="D15" s="25"/>
      <c r="E15" s="25"/>
      <c r="F15" s="25"/>
      <c r="G15" s="25"/>
      <c r="H15" s="25"/>
      <c r="I15" s="25"/>
      <c r="J15" s="2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>
      <c r="A16" s="9"/>
      <c r="B16" s="9"/>
      <c r="C16" s="25"/>
      <c r="D16" s="25"/>
      <c r="E16" s="25"/>
      <c r="F16" s="25"/>
      <c r="G16" s="25"/>
      <c r="H16" s="25"/>
      <c r="I16" s="25"/>
      <c r="J16" s="2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>
      <c r="A17" s="9"/>
      <c r="B17" s="9"/>
      <c r="C17" s="25"/>
      <c r="D17" s="25"/>
      <c r="E17" s="25"/>
      <c r="F17" s="25"/>
      <c r="G17" s="25"/>
      <c r="H17" s="25"/>
      <c r="I17" s="25"/>
      <c r="J17" s="2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>
      <c r="A18" s="9"/>
      <c r="B18" s="9"/>
      <c r="C18" s="25"/>
      <c r="D18" s="25"/>
      <c r="E18" s="25"/>
      <c r="F18" s="25"/>
      <c r="G18" s="25"/>
      <c r="H18" s="25"/>
      <c r="I18" s="25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>
      <c r="A19" s="9"/>
      <c r="B19" s="9"/>
      <c r="C19" s="25"/>
      <c r="D19" s="25"/>
      <c r="E19" s="25"/>
      <c r="F19" s="25"/>
      <c r="G19" s="25"/>
      <c r="H19" s="25"/>
      <c r="I19" s="25"/>
      <c r="J19" s="2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 customHeight="1">
      <c r="A20" s="9"/>
      <c r="B20" s="9"/>
      <c r="C20" s="25"/>
      <c r="D20" s="25"/>
      <c r="E20" s="25"/>
      <c r="F20" s="25"/>
      <c r="G20" s="25"/>
      <c r="H20" s="25"/>
      <c r="I20" s="25"/>
      <c r="J20" s="2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 customHeight="1">
      <c r="A21" s="9"/>
      <c r="B21" s="9"/>
      <c r="C21" s="25"/>
      <c r="D21" s="25"/>
      <c r="E21" s="25"/>
      <c r="F21" s="25"/>
      <c r="G21" s="25"/>
      <c r="H21" s="25"/>
      <c r="I21" s="25"/>
      <c r="J21" s="2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" customHeight="1">
      <c r="A22" s="9"/>
      <c r="B22" s="9"/>
      <c r="C22" s="25"/>
      <c r="D22" s="25"/>
      <c r="E22" s="25"/>
      <c r="F22" s="25"/>
      <c r="G22" s="25"/>
      <c r="H22" s="25"/>
      <c r="I22" s="25"/>
      <c r="J22" s="2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>
      <c r="A23" s="9"/>
      <c r="B23" s="9"/>
      <c r="C23" s="25"/>
      <c r="D23" s="25"/>
      <c r="E23" s="25"/>
      <c r="F23" s="25"/>
      <c r="G23" s="25"/>
      <c r="H23" s="25"/>
      <c r="I23" s="25"/>
      <c r="J23" s="2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>
      <c r="A24" s="9"/>
      <c r="B24" s="9"/>
      <c r="C24" s="25"/>
      <c r="D24" s="25"/>
      <c r="E24" s="25"/>
      <c r="F24" s="25"/>
      <c r="G24" s="25"/>
      <c r="H24" s="25"/>
      <c r="I24" s="25"/>
      <c r="J24" s="2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>
      <c r="A25" s="9"/>
      <c r="B25" s="9"/>
      <c r="C25" s="25"/>
      <c r="D25" s="25"/>
      <c r="E25" s="25"/>
      <c r="F25" s="25"/>
      <c r="G25" s="25"/>
      <c r="H25" s="25"/>
      <c r="I25" s="25"/>
      <c r="J25" s="2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 customHeight="1">
      <c r="A26" s="9"/>
      <c r="B26" s="9"/>
      <c r="C26" s="25"/>
      <c r="D26" s="25"/>
      <c r="E26" s="25"/>
      <c r="F26" s="25"/>
      <c r="G26" s="25"/>
      <c r="H26" s="25"/>
      <c r="I26" s="25"/>
      <c r="J26" s="2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customHeight="1">
      <c r="A27" s="9"/>
      <c r="B27" s="9"/>
      <c r="C27" s="25"/>
      <c r="D27" s="25"/>
      <c r="E27" s="25"/>
      <c r="F27" s="25"/>
      <c r="G27" s="25"/>
      <c r="H27" s="25"/>
      <c r="I27" s="25"/>
      <c r="J27" s="2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customHeight="1" hidden="1">
      <c r="A28" s="9"/>
      <c r="B28" s="9"/>
      <c r="C28" s="26"/>
      <c r="D28" s="26" t="s">
        <v>25</v>
      </c>
      <c r="E28" s="26" t="s">
        <v>8</v>
      </c>
      <c r="F28" s="26" t="s">
        <v>9</v>
      </c>
      <c r="G28" s="46" t="s">
        <v>11</v>
      </c>
      <c r="H28" s="26" t="s">
        <v>4</v>
      </c>
      <c r="I28" s="25"/>
      <c r="J28" s="25"/>
      <c r="K28" s="43" t="s">
        <v>20</v>
      </c>
      <c r="L28" s="43" t="s">
        <v>21</v>
      </c>
      <c r="M28" s="43" t="s">
        <v>19</v>
      </c>
      <c r="N28" s="43" t="s">
        <v>22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" customHeight="1" hidden="1">
      <c r="A29" s="9"/>
      <c r="B29" s="23">
        <f>IF(G5=0,5!B29,G4)</f>
        <v>1</v>
      </c>
      <c r="C29" s="18"/>
      <c r="D29" s="22">
        <f>IF(G5=0,5!D29,G5)</f>
        <v>0</v>
      </c>
      <c r="E29" s="22">
        <f>IF(G6=0,5!E29,G6)</f>
        <v>0</v>
      </c>
      <c r="F29" s="24">
        <f>IF(G7=0,5!F29,G7)</f>
        <v>0</v>
      </c>
      <c r="G29" s="22">
        <f>IF(G8=0,5!G29,G8)</f>
        <v>0</v>
      </c>
      <c r="H29" s="9"/>
      <c r="I29" s="9"/>
      <c r="J29" s="9"/>
      <c r="K29" s="9">
        <v>474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" customHeight="1" hidden="1">
      <c r="A30" s="9"/>
      <c r="B30" s="23">
        <f>IF(G5&gt;0,G4,5!B30)</f>
        <v>1</v>
      </c>
      <c r="C30" s="9"/>
      <c r="D30" s="9"/>
      <c r="E30" s="9"/>
      <c r="F30" s="9"/>
      <c r="G30" s="9"/>
      <c r="H30" s="9"/>
      <c r="I30" s="9"/>
      <c r="J30" s="9"/>
      <c r="K30" s="42">
        <f>IF(G6&lt;K29,G6,((G6/100)*(90+plus)))</f>
        <v>0</v>
      </c>
      <c r="L30" s="18">
        <f>Z7+0.45</f>
        <v>0.8400000000000001</v>
      </c>
      <c r="M30" s="9">
        <f>IF(G7&gt;L30,(L30-(G7/100)*90),G7)</f>
        <v>0</v>
      </c>
      <c r="N30" s="9">
        <f>((M30*K30)+5!N30-(G8*I8))+' '!BA34</f>
        <v>25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.5" customHeight="1">
      <c r="A31" s="9"/>
      <c r="B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</sheetData>
  <sheetProtection password="E72E" sheet="1" objects="1" scenarios="1" selectLockedCells="1"/>
  <mergeCells count="53">
    <mergeCell ref="Z12:AC12"/>
    <mergeCell ref="Z13:AC13"/>
    <mergeCell ref="Z8:AC8"/>
    <mergeCell ref="R9:U9"/>
    <mergeCell ref="V9:Y9"/>
    <mergeCell ref="Z9:AC9"/>
    <mergeCell ref="R10:U10"/>
    <mergeCell ref="V10:Y10"/>
    <mergeCell ref="Z10:AC10"/>
    <mergeCell ref="V8:Y8"/>
    <mergeCell ref="C8:F8"/>
    <mergeCell ref="G8:H8"/>
    <mergeCell ref="I8:K8"/>
    <mergeCell ref="M8:O8"/>
    <mergeCell ref="R8:U8"/>
    <mergeCell ref="AB7:AC7"/>
    <mergeCell ref="C6:F6"/>
    <mergeCell ref="G6:H6"/>
    <mergeCell ref="I6:K6"/>
    <mergeCell ref="M6:O6"/>
    <mergeCell ref="R6:U6"/>
    <mergeCell ref="V6:Y6"/>
    <mergeCell ref="Z6:AC6"/>
    <mergeCell ref="C7:F7"/>
    <mergeCell ref="G7:H7"/>
    <mergeCell ref="I7:K7"/>
    <mergeCell ref="M7:O7"/>
    <mergeCell ref="C9:O9"/>
    <mergeCell ref="R2:U2"/>
    <mergeCell ref="V2:Y2"/>
    <mergeCell ref="Z2:AC2"/>
    <mergeCell ref="C3:F3"/>
    <mergeCell ref="G3:H3"/>
    <mergeCell ref="I3:K3"/>
    <mergeCell ref="M3:O3"/>
    <mergeCell ref="R3:U3"/>
    <mergeCell ref="V3:Y3"/>
    <mergeCell ref="I5:K5"/>
    <mergeCell ref="R5:U5"/>
    <mergeCell ref="V5:Y5"/>
    <mergeCell ref="R7:U7"/>
    <mergeCell ref="V7:Y7"/>
    <mergeCell ref="Z7:AA7"/>
    <mergeCell ref="Z3:AC3"/>
    <mergeCell ref="Z5:AC5"/>
    <mergeCell ref="C4:F4"/>
    <mergeCell ref="G4:H4"/>
    <mergeCell ref="I4:K4"/>
    <mergeCell ref="R4:U4"/>
    <mergeCell ref="V4:Y4"/>
    <mergeCell ref="Z4:AC4"/>
    <mergeCell ref="C5:F5"/>
    <mergeCell ref="G5:H5"/>
  </mergeCells>
  <conditionalFormatting sqref="C9:O9">
    <cfRule type="cellIs" priority="1" dxfId="20" operator="equal">
      <formula>" "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G5" sqref="G5:H5"/>
    </sheetView>
  </sheetViews>
  <sheetFormatPr defaultColWidth="0" defaultRowHeight="0" customHeight="1" zeroHeight="1"/>
  <cols>
    <col min="1" max="30" width="3.7109375" style="0" customWidth="1"/>
    <col min="31" max="31" width="0.13671875" style="0" customWidth="1"/>
    <col min="32" max="16384" width="3.7109375" style="0" hidden="1" customWidth="1"/>
  </cols>
  <sheetData>
    <row r="1" spans="1:31" ht="1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 thickBot="1">
      <c r="A2" s="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157" t="s">
        <v>0</v>
      </c>
      <c r="S2" s="158"/>
      <c r="T2" s="158"/>
      <c r="U2" s="159"/>
      <c r="V2" s="157" t="s">
        <v>1</v>
      </c>
      <c r="W2" s="158"/>
      <c r="X2" s="158"/>
      <c r="Y2" s="159"/>
      <c r="Z2" s="157" t="s">
        <v>2</v>
      </c>
      <c r="AA2" s="158"/>
      <c r="AB2" s="158"/>
      <c r="AC2" s="159"/>
      <c r="AD2" s="19"/>
      <c r="AE2" s="9"/>
    </row>
    <row r="3" spans="1:31" ht="15" customHeight="1" thickBot="1">
      <c r="A3" s="9"/>
      <c r="B3" s="5"/>
      <c r="C3" s="185"/>
      <c r="D3" s="185"/>
      <c r="E3" s="185"/>
      <c r="F3" s="185"/>
      <c r="G3" s="142" t="s">
        <v>4</v>
      </c>
      <c r="H3" s="163"/>
      <c r="I3" s="129" t="s">
        <v>5</v>
      </c>
      <c r="J3" s="132"/>
      <c r="K3" s="133"/>
      <c r="L3" s="4"/>
      <c r="M3" s="164">
        <f>IF('[1] '!$O$10=100,6!N30+100,IF('[1] '!$O$10=200,6!N30-200,6!N30))</f>
        <v>25</v>
      </c>
      <c r="N3" s="165"/>
      <c r="O3" s="166"/>
      <c r="P3" s="7"/>
      <c r="Q3" s="8"/>
      <c r="R3" s="167" t="str">
        <f>1!R3:U3</f>
        <v>vandaag is</v>
      </c>
      <c r="S3" s="168"/>
      <c r="T3" s="168"/>
      <c r="U3" s="168"/>
      <c r="V3" s="167" t="str">
        <f>1!V3:Y3</f>
        <v>er is geen</v>
      </c>
      <c r="W3" s="168"/>
      <c r="X3" s="168"/>
      <c r="Y3" s="169"/>
      <c r="Z3" s="170" t="str">
        <f>1!Z3:AC3</f>
        <v>de ijsprijs is</v>
      </c>
      <c r="AA3" s="168"/>
      <c r="AB3" s="168"/>
      <c r="AC3" s="169"/>
      <c r="AD3" s="20"/>
      <c r="AE3" s="9"/>
    </row>
    <row r="4" spans="1:31" ht="15" customHeight="1" thickBot="1">
      <c r="A4" s="9"/>
      <c r="B4" s="5"/>
      <c r="C4" s="136" t="s">
        <v>6</v>
      </c>
      <c r="D4" s="137"/>
      <c r="E4" s="137"/>
      <c r="F4" s="143"/>
      <c r="G4" s="174">
        <v>7</v>
      </c>
      <c r="H4" s="175"/>
      <c r="I4" s="151"/>
      <c r="J4" s="151"/>
      <c r="K4" s="151"/>
      <c r="L4" s="4"/>
      <c r="M4" s="9"/>
      <c r="N4" s="9"/>
      <c r="O4" s="9"/>
      <c r="P4" s="10"/>
      <c r="Q4" s="8"/>
      <c r="R4" s="122" t="str">
        <f>1!R4:U4</f>
        <v>het tamelijk</v>
      </c>
      <c r="S4" s="120"/>
      <c r="T4" s="120"/>
      <c r="U4" s="120"/>
      <c r="V4" s="122" t="str">
        <f>1!V4:Y4</f>
        <v>waarschuwing</v>
      </c>
      <c r="W4" s="120"/>
      <c r="X4" s="120"/>
      <c r="Y4" s="121"/>
      <c r="Z4" s="119" t="str">
        <f>1!Z4:AC4</f>
        <v>vandaag</v>
      </c>
      <c r="AA4" s="120"/>
      <c r="AB4" s="120"/>
      <c r="AC4" s="121"/>
      <c r="AD4" s="20"/>
      <c r="AE4" s="9"/>
    </row>
    <row r="5" spans="1:31" ht="15" customHeight="1" thickBot="1">
      <c r="A5" s="9"/>
      <c r="B5" s="5"/>
      <c r="C5" s="129" t="s">
        <v>7</v>
      </c>
      <c r="D5" s="132"/>
      <c r="E5" s="132"/>
      <c r="F5" s="132"/>
      <c r="G5" s="154">
        <v>0</v>
      </c>
      <c r="H5" s="155"/>
      <c r="I5" s="156"/>
      <c r="J5" s="156"/>
      <c r="K5" s="156"/>
      <c r="L5" s="8"/>
      <c r="M5" s="9"/>
      <c r="N5" s="9"/>
      <c r="O5" s="9"/>
      <c r="P5" s="10"/>
      <c r="Q5" s="11"/>
      <c r="R5" s="122" t="str">
        <f>1!R5:U5</f>
        <v>bewolkt</v>
      </c>
      <c r="S5" s="120"/>
      <c r="T5" s="120"/>
      <c r="U5" s="120"/>
      <c r="V5" s="122" t="str">
        <f>1!V5:Y5</f>
        <v>voor vandaag</v>
      </c>
      <c r="W5" s="120"/>
      <c r="X5" s="120"/>
      <c r="Y5" s="121"/>
      <c r="Z5" s="119" t="str">
        <f>1!Z5:AC5</f>
        <v>erg laag</v>
      </c>
      <c r="AA5" s="120"/>
      <c r="AB5" s="120"/>
      <c r="AC5" s="121"/>
      <c r="AD5" s="20"/>
      <c r="AE5" s="9"/>
    </row>
    <row r="6" spans="1:31" ht="15" customHeight="1" thickBot="1">
      <c r="A6" s="9"/>
      <c r="B6" s="5"/>
      <c r="C6" s="136" t="s">
        <v>8</v>
      </c>
      <c r="D6" s="137"/>
      <c r="E6" s="137"/>
      <c r="F6" s="137"/>
      <c r="G6" s="138">
        <v>0</v>
      </c>
      <c r="H6" s="139"/>
      <c r="I6" s="140">
        <f>1!I6</f>
        <v>0.39</v>
      </c>
      <c r="J6" s="140"/>
      <c r="K6" s="141"/>
      <c r="L6" s="8"/>
      <c r="M6" s="142"/>
      <c r="N6" s="142"/>
      <c r="O6" s="142"/>
      <c r="P6" s="7"/>
      <c r="Q6" s="8"/>
      <c r="R6" s="122" t="str">
        <f>1!R6:U6</f>
        <v>met windkracht</v>
      </c>
      <c r="S6" s="120"/>
      <c r="T6" s="120"/>
      <c r="U6" s="120"/>
      <c r="V6" s="122" t="str">
        <f>1!V6:Y6</f>
        <v>of morgen</v>
      </c>
      <c r="W6" s="120"/>
      <c r="X6" s="120"/>
      <c r="Y6" s="121"/>
      <c r="Z6" s="119" t="str">
        <f>1!Z6:AC6</f>
        <v>namelijk</v>
      </c>
      <c r="AA6" s="120"/>
      <c r="AB6" s="120"/>
      <c r="AC6" s="121"/>
      <c r="AD6" s="20"/>
      <c r="AE6" s="9"/>
    </row>
    <row r="7" spans="1:31" ht="15" customHeight="1" thickBot="1">
      <c r="A7" s="9"/>
      <c r="B7" s="5"/>
      <c r="C7" s="147" t="s">
        <v>9</v>
      </c>
      <c r="D7" s="148"/>
      <c r="E7" s="148"/>
      <c r="F7" s="148"/>
      <c r="G7" s="149">
        <v>0</v>
      </c>
      <c r="H7" s="150"/>
      <c r="I7" s="151"/>
      <c r="J7" s="151"/>
      <c r="K7" s="151"/>
      <c r="L7" s="12"/>
      <c r="M7" s="142"/>
      <c r="N7" s="142"/>
      <c r="O7" s="142"/>
      <c r="P7" s="7"/>
      <c r="Q7" s="12"/>
      <c r="R7" s="122">
        <f>1!R7:U7</f>
        <v>19</v>
      </c>
      <c r="S7" s="120"/>
      <c r="T7" s="120"/>
      <c r="U7" s="120"/>
      <c r="V7" s="122" t="str">
        <f>1!V7:Y7</f>
        <v>bekend</v>
      </c>
      <c r="W7" s="120"/>
      <c r="X7" s="120"/>
      <c r="Y7" s="121"/>
      <c r="Z7" s="177">
        <f>1!I6</f>
        <v>0.39</v>
      </c>
      <c r="AA7" s="177"/>
      <c r="AB7" s="134" t="s">
        <v>10</v>
      </c>
      <c r="AC7" s="135"/>
      <c r="AD7" s="21"/>
      <c r="AE7" s="9"/>
    </row>
    <row r="8" spans="1:31" ht="15" customHeight="1" thickBot="1">
      <c r="A8" s="9"/>
      <c r="B8" s="5"/>
      <c r="C8" s="136" t="s">
        <v>11</v>
      </c>
      <c r="D8" s="137"/>
      <c r="E8" s="137"/>
      <c r="F8" s="143"/>
      <c r="G8" s="144">
        <v>0</v>
      </c>
      <c r="H8" s="145"/>
      <c r="I8" s="146">
        <f>1!I8</f>
        <v>5</v>
      </c>
      <c r="J8" s="140"/>
      <c r="K8" s="141"/>
      <c r="L8" s="4"/>
      <c r="M8" s="142"/>
      <c r="N8" s="142"/>
      <c r="O8" s="142"/>
      <c r="P8" s="7"/>
      <c r="Q8" s="13"/>
      <c r="R8" s="122" t="str">
        <f>1!R8:U8</f>
        <v> </v>
      </c>
      <c r="S8" s="120"/>
      <c r="T8" s="120"/>
      <c r="U8" s="120"/>
      <c r="V8" s="122" t="str">
        <f>1!V8:Y8</f>
        <v> </v>
      </c>
      <c r="W8" s="120"/>
      <c r="X8" s="120"/>
      <c r="Y8" s="121"/>
      <c r="Z8" s="119" t="str">
        <f>1!Z8:AC8</f>
        <v>per stuk</v>
      </c>
      <c r="AA8" s="120"/>
      <c r="AB8" s="120"/>
      <c r="AC8" s="121"/>
      <c r="AD8" s="20"/>
      <c r="AE8" s="9"/>
    </row>
    <row r="9" spans="1:31" ht="15" customHeight="1" thickBot="1">
      <c r="A9" s="9"/>
      <c r="B9" s="5"/>
      <c r="C9" s="180" t="str">
        <f>' '!AX34</f>
        <v> </v>
      </c>
      <c r="D9" s="181"/>
      <c r="E9" s="181"/>
      <c r="F9" s="181"/>
      <c r="G9" s="182"/>
      <c r="H9" s="182"/>
      <c r="I9" s="181"/>
      <c r="J9" s="181"/>
      <c r="K9" s="181"/>
      <c r="L9" s="181"/>
      <c r="M9" s="183"/>
      <c r="N9" s="183"/>
      <c r="O9" s="184"/>
      <c r="P9" s="7"/>
      <c r="Q9" s="4"/>
      <c r="R9" s="122" t="str">
        <f>1!R9:U9</f>
        <v> </v>
      </c>
      <c r="S9" s="120"/>
      <c r="T9" s="120"/>
      <c r="U9" s="120"/>
      <c r="V9" s="122" t="str">
        <f>1!V9:Y9</f>
        <v> </v>
      </c>
      <c r="W9" s="120"/>
      <c r="X9" s="120"/>
      <c r="Y9" s="121"/>
      <c r="Z9" s="119" t="str">
        <f>1!Z9:AC9</f>
        <v> </v>
      </c>
      <c r="AA9" s="120"/>
      <c r="AB9" s="120"/>
      <c r="AC9" s="121"/>
      <c r="AD9" s="20"/>
      <c r="AE9" s="9"/>
    </row>
    <row r="10" spans="1:31" ht="15" customHeight="1" thickBot="1">
      <c r="A10" s="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6"/>
      <c r="N10" s="6"/>
      <c r="O10" s="15"/>
      <c r="P10" s="16"/>
      <c r="Q10" s="4"/>
      <c r="R10" s="125" t="str">
        <f>1!R10:U10</f>
        <v> </v>
      </c>
      <c r="S10" s="126"/>
      <c r="T10" s="126"/>
      <c r="U10" s="126"/>
      <c r="V10" s="125" t="str">
        <f>1!V10:Y10</f>
        <v> </v>
      </c>
      <c r="W10" s="126"/>
      <c r="X10" s="126"/>
      <c r="Y10" s="127"/>
      <c r="Z10" s="128" t="str">
        <f>1!Z10:AC10</f>
        <v> </v>
      </c>
      <c r="AA10" s="126"/>
      <c r="AB10" s="126"/>
      <c r="AC10" s="127"/>
      <c r="AD10" s="20"/>
      <c r="AE10" s="9"/>
    </row>
    <row r="11" spans="1:3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8"/>
      <c r="AA12" s="118"/>
      <c r="AB12" s="118"/>
      <c r="AC12" s="118"/>
      <c r="AD12" s="17"/>
      <c r="AE12" s="9"/>
    </row>
    <row r="13" spans="1:3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18"/>
      <c r="AA13" s="118"/>
      <c r="AB13" s="118"/>
      <c r="AC13" s="118"/>
      <c r="AD13" s="17"/>
      <c r="AE13" s="9"/>
    </row>
    <row r="14" spans="1:31" ht="15" customHeight="1">
      <c r="A14" s="9"/>
      <c r="B14" s="9"/>
      <c r="C14" s="25"/>
      <c r="D14" s="25"/>
      <c r="E14" s="25"/>
      <c r="F14" s="25"/>
      <c r="G14" s="25"/>
      <c r="H14" s="25"/>
      <c r="I14" s="25"/>
      <c r="J14" s="2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5" customHeight="1">
      <c r="A15" s="9"/>
      <c r="B15" s="9"/>
      <c r="C15" s="25"/>
      <c r="D15" s="25"/>
      <c r="E15" s="25"/>
      <c r="F15" s="25"/>
      <c r="G15" s="25"/>
      <c r="H15" s="25"/>
      <c r="I15" s="25"/>
      <c r="J15" s="2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>
      <c r="A16" s="9"/>
      <c r="B16" s="9"/>
      <c r="C16" s="25"/>
      <c r="D16" s="25"/>
      <c r="E16" s="25"/>
      <c r="F16" s="25"/>
      <c r="G16" s="25"/>
      <c r="H16" s="25"/>
      <c r="I16" s="25"/>
      <c r="J16" s="2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>
      <c r="A17" s="9"/>
      <c r="B17" s="9"/>
      <c r="C17" s="25"/>
      <c r="D17" s="25"/>
      <c r="E17" s="25"/>
      <c r="F17" s="25"/>
      <c r="G17" s="25"/>
      <c r="H17" s="25"/>
      <c r="I17" s="25"/>
      <c r="J17" s="2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>
      <c r="A18" s="9"/>
      <c r="B18" s="9"/>
      <c r="C18" s="25"/>
      <c r="D18" s="25"/>
      <c r="E18" s="25"/>
      <c r="F18" s="25"/>
      <c r="G18" s="25"/>
      <c r="H18" s="25"/>
      <c r="I18" s="25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>
      <c r="A19" s="9"/>
      <c r="B19" s="9"/>
      <c r="C19" s="25"/>
      <c r="D19" s="25"/>
      <c r="E19" s="25"/>
      <c r="F19" s="25"/>
      <c r="G19" s="25"/>
      <c r="H19" s="25"/>
      <c r="I19" s="25"/>
      <c r="J19" s="2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 customHeight="1">
      <c r="A20" s="9"/>
      <c r="B20" s="9"/>
      <c r="C20" s="25"/>
      <c r="D20" s="25"/>
      <c r="E20" s="25"/>
      <c r="F20" s="25"/>
      <c r="G20" s="25"/>
      <c r="H20" s="25"/>
      <c r="I20" s="25"/>
      <c r="J20" s="2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 customHeight="1">
      <c r="A21" s="9"/>
      <c r="B21" s="9"/>
      <c r="C21" s="25"/>
      <c r="D21" s="25"/>
      <c r="E21" s="25"/>
      <c r="F21" s="25"/>
      <c r="G21" s="25"/>
      <c r="H21" s="25"/>
      <c r="I21" s="25"/>
      <c r="J21" s="2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" customHeight="1">
      <c r="A22" s="9"/>
      <c r="B22" s="9"/>
      <c r="C22" s="25"/>
      <c r="D22" s="25"/>
      <c r="E22" s="25"/>
      <c r="F22" s="25"/>
      <c r="G22" s="25"/>
      <c r="H22" s="25"/>
      <c r="I22" s="25"/>
      <c r="J22" s="2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>
      <c r="A23" s="9"/>
      <c r="B23" s="9"/>
      <c r="C23" s="25"/>
      <c r="D23" s="25"/>
      <c r="E23" s="25"/>
      <c r="F23" s="25"/>
      <c r="G23" s="25"/>
      <c r="H23" s="25"/>
      <c r="I23" s="25"/>
      <c r="J23" s="2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>
      <c r="A24" s="9"/>
      <c r="B24" s="9"/>
      <c r="C24" s="25"/>
      <c r="D24" s="25"/>
      <c r="E24" s="25"/>
      <c r="F24" s="25"/>
      <c r="G24" s="25"/>
      <c r="H24" s="25"/>
      <c r="I24" s="25"/>
      <c r="J24" s="2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>
      <c r="A25" s="9"/>
      <c r="B25" s="9"/>
      <c r="C25" s="25"/>
      <c r="D25" s="25"/>
      <c r="E25" s="25"/>
      <c r="F25" s="25"/>
      <c r="G25" s="25"/>
      <c r="H25" s="25"/>
      <c r="I25" s="25"/>
      <c r="J25" s="2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 customHeight="1">
      <c r="A26" s="9"/>
      <c r="B26" s="9"/>
      <c r="C26" s="25"/>
      <c r="D26" s="25"/>
      <c r="E26" s="25"/>
      <c r="F26" s="25"/>
      <c r="G26" s="25"/>
      <c r="H26" s="25"/>
      <c r="I26" s="25"/>
      <c r="J26" s="2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customHeight="1">
      <c r="A27" s="9"/>
      <c r="B27" s="9"/>
      <c r="C27" s="25"/>
      <c r="D27" s="25"/>
      <c r="E27" s="25"/>
      <c r="F27" s="25"/>
      <c r="G27" s="25"/>
      <c r="H27" s="25"/>
      <c r="I27" s="25"/>
      <c r="J27" s="2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customHeight="1" hidden="1">
      <c r="A28" s="9"/>
      <c r="B28" s="9"/>
      <c r="C28" s="26"/>
      <c r="D28" s="26" t="s">
        <v>25</v>
      </c>
      <c r="E28" s="26" t="s">
        <v>8</v>
      </c>
      <c r="F28" s="26" t="s">
        <v>9</v>
      </c>
      <c r="G28" s="46" t="s">
        <v>11</v>
      </c>
      <c r="H28" s="26" t="s">
        <v>4</v>
      </c>
      <c r="I28" s="25"/>
      <c r="J28" s="25"/>
      <c r="K28" s="43" t="s">
        <v>20</v>
      </c>
      <c r="L28" s="43" t="s">
        <v>21</v>
      </c>
      <c r="M28" s="43" t="s">
        <v>19</v>
      </c>
      <c r="N28" s="43" t="s">
        <v>22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" customHeight="1" hidden="1">
      <c r="A29" s="9"/>
      <c r="B29" s="23">
        <f>IF(G5=0,6!B29,G4)</f>
        <v>1</v>
      </c>
      <c r="C29" s="18"/>
      <c r="D29" s="22">
        <f>IF(G5=0,6!D29,G5)</f>
        <v>0</v>
      </c>
      <c r="E29" s="22">
        <f>IF(G6=0,6!E29,G6)</f>
        <v>0</v>
      </c>
      <c r="F29" s="24">
        <f>IF(G7=0,6!F29,G7)</f>
        <v>0</v>
      </c>
      <c r="G29" s="22">
        <f>IF(G8=0,6!G29,G8)</f>
        <v>0</v>
      </c>
      <c r="H29" s="9"/>
      <c r="I29" s="9"/>
      <c r="J29" s="9"/>
      <c r="K29" s="9">
        <v>583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" customHeight="1" hidden="1">
      <c r="A30" s="9"/>
      <c r="B30" s="23">
        <f>IF(G5&gt;0,G4,6!B30)</f>
        <v>1</v>
      </c>
      <c r="C30" s="9"/>
      <c r="D30" s="9"/>
      <c r="E30" s="9"/>
      <c r="F30" s="9"/>
      <c r="G30" s="9"/>
      <c r="H30" s="9"/>
      <c r="I30" s="9"/>
      <c r="J30" s="9"/>
      <c r="K30" s="42">
        <f>IF(G6&lt;K29,G6,((G6/100)*(90+plus)))</f>
        <v>0</v>
      </c>
      <c r="L30" s="18">
        <f>Z7+0.5</f>
        <v>0.89</v>
      </c>
      <c r="M30" s="9">
        <f>IF(G7&gt;L30,(L30-(G7/100)*90),G7)</f>
        <v>0</v>
      </c>
      <c r="N30" s="9">
        <f>((M30*K30)+6!N30-(G8*I8))+' '!BA35</f>
        <v>25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.5" customHeight="1">
      <c r="A31" s="9"/>
      <c r="B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</sheetData>
  <sheetProtection password="E72E" sheet="1" objects="1" scenarios="1" selectLockedCells="1"/>
  <mergeCells count="53">
    <mergeCell ref="Z12:AC12"/>
    <mergeCell ref="Z13:AC13"/>
    <mergeCell ref="Z8:AC8"/>
    <mergeCell ref="R9:U9"/>
    <mergeCell ref="V9:Y9"/>
    <mergeCell ref="Z9:AC9"/>
    <mergeCell ref="R10:U10"/>
    <mergeCell ref="V10:Y10"/>
    <mergeCell ref="Z10:AC10"/>
    <mergeCell ref="V8:Y8"/>
    <mergeCell ref="C8:F8"/>
    <mergeCell ref="G8:H8"/>
    <mergeCell ref="I8:K8"/>
    <mergeCell ref="M8:O8"/>
    <mergeCell ref="R8:U8"/>
    <mergeCell ref="AB7:AC7"/>
    <mergeCell ref="C6:F6"/>
    <mergeCell ref="G6:H6"/>
    <mergeCell ref="I6:K6"/>
    <mergeCell ref="M6:O6"/>
    <mergeCell ref="R6:U6"/>
    <mergeCell ref="V6:Y6"/>
    <mergeCell ref="Z6:AC6"/>
    <mergeCell ref="C7:F7"/>
    <mergeCell ref="G7:H7"/>
    <mergeCell ref="I7:K7"/>
    <mergeCell ref="M7:O7"/>
    <mergeCell ref="C9:O9"/>
    <mergeCell ref="R2:U2"/>
    <mergeCell ref="V2:Y2"/>
    <mergeCell ref="Z2:AC2"/>
    <mergeCell ref="C3:F3"/>
    <mergeCell ref="G3:H3"/>
    <mergeCell ref="I3:K3"/>
    <mergeCell ref="M3:O3"/>
    <mergeCell ref="R3:U3"/>
    <mergeCell ref="V3:Y3"/>
    <mergeCell ref="I5:K5"/>
    <mergeCell ref="R5:U5"/>
    <mergeCell ref="V5:Y5"/>
    <mergeCell ref="R7:U7"/>
    <mergeCell ref="V7:Y7"/>
    <mergeCell ref="Z7:AA7"/>
    <mergeCell ref="Z3:AC3"/>
    <mergeCell ref="Z5:AC5"/>
    <mergeCell ref="C4:F4"/>
    <mergeCell ref="G4:H4"/>
    <mergeCell ref="I4:K4"/>
    <mergeCell ref="R4:U4"/>
    <mergeCell ref="V4:Y4"/>
    <mergeCell ref="Z4:AC4"/>
    <mergeCell ref="C5:F5"/>
    <mergeCell ref="G5:H5"/>
  </mergeCells>
  <conditionalFormatting sqref="C9:O9">
    <cfRule type="cellIs" priority="1" dxfId="20" operator="equal">
      <formula>" "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">
      <selection activeCell="G5" sqref="G5:H5"/>
    </sheetView>
  </sheetViews>
  <sheetFormatPr defaultColWidth="0" defaultRowHeight="0" customHeight="1" zeroHeight="1"/>
  <cols>
    <col min="1" max="30" width="3.7109375" style="0" customWidth="1"/>
    <col min="31" max="31" width="0.13671875" style="0" customWidth="1"/>
    <col min="32" max="16384" width="3.7109375" style="0" hidden="1" customWidth="1"/>
  </cols>
  <sheetData>
    <row r="1" spans="1:31" ht="15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5" customHeight="1" thickBot="1">
      <c r="A2" s="9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157" t="s">
        <v>0</v>
      </c>
      <c r="S2" s="158"/>
      <c r="T2" s="158"/>
      <c r="U2" s="159"/>
      <c r="V2" s="157" t="s">
        <v>1</v>
      </c>
      <c r="W2" s="158"/>
      <c r="X2" s="158"/>
      <c r="Y2" s="159"/>
      <c r="Z2" s="157" t="s">
        <v>2</v>
      </c>
      <c r="AA2" s="158"/>
      <c r="AB2" s="158"/>
      <c r="AC2" s="159"/>
      <c r="AD2" s="19"/>
      <c r="AE2" s="9"/>
    </row>
    <row r="3" spans="1:31" ht="15" customHeight="1" thickBot="1">
      <c r="A3" s="9"/>
      <c r="B3" s="5"/>
      <c r="C3" s="185"/>
      <c r="D3" s="185"/>
      <c r="E3" s="185"/>
      <c r="F3" s="185"/>
      <c r="G3" s="142" t="s">
        <v>4</v>
      </c>
      <c r="H3" s="163"/>
      <c r="I3" s="129" t="s">
        <v>5</v>
      </c>
      <c r="J3" s="132"/>
      <c r="K3" s="133"/>
      <c r="L3" s="4"/>
      <c r="M3" s="164">
        <f>IF('[1] '!$O$10=100,7!N30+100,IF('[1] '!$O$10=200,7!N30-200,7!N30))</f>
        <v>25</v>
      </c>
      <c r="N3" s="165"/>
      <c r="O3" s="166"/>
      <c r="P3" s="7"/>
      <c r="Q3" s="8"/>
      <c r="R3" s="167" t="str">
        <f>1!R3:U3</f>
        <v>vandaag is</v>
      </c>
      <c r="S3" s="168"/>
      <c r="T3" s="168"/>
      <c r="U3" s="168"/>
      <c r="V3" s="167" t="str">
        <f>1!V3:Y3</f>
        <v>er is geen</v>
      </c>
      <c r="W3" s="168"/>
      <c r="X3" s="168"/>
      <c r="Y3" s="169"/>
      <c r="Z3" s="170" t="str">
        <f>1!Z3:AC3</f>
        <v>de ijsprijs is</v>
      </c>
      <c r="AA3" s="168"/>
      <c r="AB3" s="168"/>
      <c r="AC3" s="169"/>
      <c r="AD3" s="20"/>
      <c r="AE3" s="9"/>
    </row>
    <row r="4" spans="1:31" ht="15" customHeight="1" thickBot="1">
      <c r="A4" s="9"/>
      <c r="B4" s="5"/>
      <c r="C4" s="136" t="s">
        <v>6</v>
      </c>
      <c r="D4" s="137"/>
      <c r="E4" s="137"/>
      <c r="F4" s="143"/>
      <c r="G4" s="174">
        <v>8</v>
      </c>
      <c r="H4" s="175"/>
      <c r="I4" s="151"/>
      <c r="J4" s="151"/>
      <c r="K4" s="151"/>
      <c r="L4" s="4"/>
      <c r="M4" s="9"/>
      <c r="N4" s="9"/>
      <c r="O4" s="9"/>
      <c r="P4" s="10"/>
      <c r="Q4" s="8"/>
      <c r="R4" s="122" t="str">
        <f>1!R4:U4</f>
        <v>het tamelijk</v>
      </c>
      <c r="S4" s="120"/>
      <c r="T4" s="120"/>
      <c r="U4" s="120"/>
      <c r="V4" s="122" t="str">
        <f>1!V4:Y4</f>
        <v>waarschuwing</v>
      </c>
      <c r="W4" s="120"/>
      <c r="X4" s="120"/>
      <c r="Y4" s="121"/>
      <c r="Z4" s="119" t="str">
        <f>1!Z4:AC4</f>
        <v>vandaag</v>
      </c>
      <c r="AA4" s="120"/>
      <c r="AB4" s="120"/>
      <c r="AC4" s="121"/>
      <c r="AD4" s="20"/>
      <c r="AE4" s="9"/>
    </row>
    <row r="5" spans="1:31" ht="15" customHeight="1" thickBot="1">
      <c r="A5" s="9"/>
      <c r="B5" s="5"/>
      <c r="C5" s="129" t="s">
        <v>7</v>
      </c>
      <c r="D5" s="132"/>
      <c r="E5" s="132"/>
      <c r="F5" s="132"/>
      <c r="G5" s="154">
        <v>0</v>
      </c>
      <c r="H5" s="155"/>
      <c r="I5" s="156"/>
      <c r="J5" s="156"/>
      <c r="K5" s="156"/>
      <c r="L5" s="8"/>
      <c r="M5" s="9"/>
      <c r="N5" s="9"/>
      <c r="O5" s="9"/>
      <c r="P5" s="10"/>
      <c r="Q5" s="11"/>
      <c r="R5" s="122" t="str">
        <f>1!R5:U5</f>
        <v>bewolkt</v>
      </c>
      <c r="S5" s="120"/>
      <c r="T5" s="120"/>
      <c r="U5" s="120"/>
      <c r="V5" s="122" t="str">
        <f>1!V5:Y5</f>
        <v>voor vandaag</v>
      </c>
      <c r="W5" s="120"/>
      <c r="X5" s="120"/>
      <c r="Y5" s="121"/>
      <c r="Z5" s="119" t="str">
        <f>1!Z5:AC5</f>
        <v>erg laag</v>
      </c>
      <c r="AA5" s="120"/>
      <c r="AB5" s="120"/>
      <c r="AC5" s="121"/>
      <c r="AD5" s="20"/>
      <c r="AE5" s="9"/>
    </row>
    <row r="6" spans="1:31" ht="15" customHeight="1" thickBot="1">
      <c r="A6" s="9"/>
      <c r="B6" s="5"/>
      <c r="C6" s="136" t="s">
        <v>8</v>
      </c>
      <c r="D6" s="137"/>
      <c r="E6" s="137"/>
      <c r="F6" s="137"/>
      <c r="G6" s="138">
        <v>0</v>
      </c>
      <c r="H6" s="139"/>
      <c r="I6" s="140">
        <f>1!I6</f>
        <v>0.39</v>
      </c>
      <c r="J6" s="140"/>
      <c r="K6" s="141"/>
      <c r="L6" s="8"/>
      <c r="M6" s="142"/>
      <c r="N6" s="142"/>
      <c r="O6" s="142"/>
      <c r="P6" s="7"/>
      <c r="Q6" s="8"/>
      <c r="R6" s="122" t="str">
        <f>1!R6:U6</f>
        <v>met windkracht</v>
      </c>
      <c r="S6" s="120"/>
      <c r="T6" s="120"/>
      <c r="U6" s="120"/>
      <c r="V6" s="122" t="str">
        <f>1!V6:Y6</f>
        <v>of morgen</v>
      </c>
      <c r="W6" s="120"/>
      <c r="X6" s="120"/>
      <c r="Y6" s="121"/>
      <c r="Z6" s="119" t="str">
        <f>1!Z6:AC6</f>
        <v>namelijk</v>
      </c>
      <c r="AA6" s="120"/>
      <c r="AB6" s="120"/>
      <c r="AC6" s="121"/>
      <c r="AD6" s="20"/>
      <c r="AE6" s="9"/>
    </row>
    <row r="7" spans="1:31" ht="15" customHeight="1" thickBot="1">
      <c r="A7" s="9"/>
      <c r="B7" s="5"/>
      <c r="C7" s="147" t="s">
        <v>9</v>
      </c>
      <c r="D7" s="148"/>
      <c r="E7" s="148"/>
      <c r="F7" s="148"/>
      <c r="G7" s="149">
        <v>0</v>
      </c>
      <c r="H7" s="150"/>
      <c r="I7" s="151"/>
      <c r="J7" s="151"/>
      <c r="K7" s="151"/>
      <c r="L7" s="12"/>
      <c r="M7" s="142"/>
      <c r="N7" s="142"/>
      <c r="O7" s="142"/>
      <c r="P7" s="7"/>
      <c r="Q7" s="12"/>
      <c r="R7" s="122">
        <f>1!R7:U7</f>
        <v>19</v>
      </c>
      <c r="S7" s="120"/>
      <c r="T7" s="120"/>
      <c r="U7" s="120"/>
      <c r="V7" s="122" t="str">
        <f>1!V7:Y7</f>
        <v>bekend</v>
      </c>
      <c r="W7" s="120"/>
      <c r="X7" s="120"/>
      <c r="Y7" s="121"/>
      <c r="Z7" s="177">
        <f>1!I6</f>
        <v>0.39</v>
      </c>
      <c r="AA7" s="177"/>
      <c r="AB7" s="134" t="s">
        <v>10</v>
      </c>
      <c r="AC7" s="135"/>
      <c r="AD7" s="21"/>
      <c r="AE7" s="9"/>
    </row>
    <row r="8" spans="1:31" ht="15" customHeight="1" thickBot="1">
      <c r="A8" s="9"/>
      <c r="B8" s="5"/>
      <c r="C8" s="136" t="s">
        <v>11</v>
      </c>
      <c r="D8" s="137"/>
      <c r="E8" s="137"/>
      <c r="F8" s="143"/>
      <c r="G8" s="144">
        <v>0</v>
      </c>
      <c r="H8" s="145"/>
      <c r="I8" s="146">
        <f>1!I8</f>
        <v>5</v>
      </c>
      <c r="J8" s="140"/>
      <c r="K8" s="141"/>
      <c r="L8" s="4"/>
      <c r="M8" s="142"/>
      <c r="N8" s="142"/>
      <c r="O8" s="142"/>
      <c r="P8" s="7"/>
      <c r="Q8" s="13"/>
      <c r="R8" s="122" t="str">
        <f>1!R8:U8</f>
        <v> </v>
      </c>
      <c r="S8" s="120"/>
      <c r="T8" s="120"/>
      <c r="U8" s="120"/>
      <c r="V8" s="122" t="str">
        <f>1!V8:Y8</f>
        <v> </v>
      </c>
      <c r="W8" s="120"/>
      <c r="X8" s="120"/>
      <c r="Y8" s="121"/>
      <c r="Z8" s="119" t="str">
        <f>1!Z8:AC8</f>
        <v>per stuk</v>
      </c>
      <c r="AA8" s="120"/>
      <c r="AB8" s="120"/>
      <c r="AC8" s="121"/>
      <c r="AD8" s="20"/>
      <c r="AE8" s="9"/>
    </row>
    <row r="9" spans="1:31" ht="15" customHeight="1" thickBot="1">
      <c r="A9" s="9"/>
      <c r="B9" s="5"/>
      <c r="C9" s="180" t="str">
        <f>' '!AX35</f>
        <v> </v>
      </c>
      <c r="D9" s="181"/>
      <c r="E9" s="181"/>
      <c r="F9" s="181"/>
      <c r="G9" s="182"/>
      <c r="H9" s="182"/>
      <c r="I9" s="181"/>
      <c r="J9" s="181"/>
      <c r="K9" s="181"/>
      <c r="L9" s="181"/>
      <c r="M9" s="183"/>
      <c r="N9" s="183"/>
      <c r="O9" s="184"/>
      <c r="P9" s="7"/>
      <c r="Q9" s="4"/>
      <c r="R9" s="122" t="str">
        <f>1!R9:U9</f>
        <v> </v>
      </c>
      <c r="S9" s="120"/>
      <c r="T9" s="120"/>
      <c r="U9" s="120"/>
      <c r="V9" s="122" t="str">
        <f>1!V9:Y9</f>
        <v> </v>
      </c>
      <c r="W9" s="120"/>
      <c r="X9" s="120"/>
      <c r="Y9" s="121"/>
      <c r="Z9" s="119" t="str">
        <f>1!Z9:AC9</f>
        <v> </v>
      </c>
      <c r="AA9" s="120"/>
      <c r="AB9" s="120"/>
      <c r="AC9" s="121"/>
      <c r="AD9" s="20"/>
      <c r="AE9" s="9"/>
    </row>
    <row r="10" spans="1:31" ht="15" customHeight="1" thickBot="1">
      <c r="A10" s="9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6"/>
      <c r="M10" s="6"/>
      <c r="N10" s="6"/>
      <c r="O10" s="15"/>
      <c r="P10" s="16"/>
      <c r="Q10" s="4"/>
      <c r="R10" s="125" t="str">
        <f>1!R10:U10</f>
        <v> </v>
      </c>
      <c r="S10" s="126"/>
      <c r="T10" s="126"/>
      <c r="U10" s="126"/>
      <c r="V10" s="125" t="str">
        <f>1!V10:Y10</f>
        <v> </v>
      </c>
      <c r="W10" s="126"/>
      <c r="X10" s="126"/>
      <c r="Y10" s="127"/>
      <c r="Z10" s="128" t="str">
        <f>1!Z10:AC10</f>
        <v> </v>
      </c>
      <c r="AA10" s="126"/>
      <c r="AB10" s="126"/>
      <c r="AC10" s="127"/>
      <c r="AD10" s="20"/>
      <c r="AE10" s="9"/>
    </row>
    <row r="11" spans="1:3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8"/>
      <c r="AA12" s="118"/>
      <c r="AB12" s="118"/>
      <c r="AC12" s="118"/>
      <c r="AD12" s="17"/>
      <c r="AE12" s="9"/>
    </row>
    <row r="13" spans="1:31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18"/>
      <c r="AA13" s="118"/>
      <c r="AB13" s="118"/>
      <c r="AC13" s="118"/>
      <c r="AD13" s="17"/>
      <c r="AE13" s="9"/>
    </row>
    <row r="14" spans="1:31" ht="15" customHeight="1">
      <c r="A14" s="9"/>
      <c r="B14" s="9"/>
      <c r="C14" s="25"/>
      <c r="D14" s="25"/>
      <c r="E14" s="25"/>
      <c r="F14" s="25"/>
      <c r="G14" s="25"/>
      <c r="H14" s="25"/>
      <c r="I14" s="25"/>
      <c r="J14" s="2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5" customHeight="1">
      <c r="A15" s="9"/>
      <c r="B15" s="9"/>
      <c r="C15" s="25"/>
      <c r="D15" s="25"/>
      <c r="E15" s="25"/>
      <c r="F15" s="25"/>
      <c r="G15" s="25"/>
      <c r="H15" s="25"/>
      <c r="I15" s="25"/>
      <c r="J15" s="2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" customHeight="1">
      <c r="A16" s="9"/>
      <c r="B16" s="9"/>
      <c r="C16" s="25"/>
      <c r="D16" s="25"/>
      <c r="E16" s="25"/>
      <c r="F16" s="25"/>
      <c r="G16" s="25"/>
      <c r="H16" s="25"/>
      <c r="I16" s="25"/>
      <c r="J16" s="2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" customHeight="1">
      <c r="A17" s="9"/>
      <c r="B17" s="9"/>
      <c r="C17" s="25"/>
      <c r="D17" s="25"/>
      <c r="E17" s="25"/>
      <c r="F17" s="25"/>
      <c r="G17" s="25"/>
      <c r="H17" s="25"/>
      <c r="I17" s="25"/>
      <c r="J17" s="2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>
      <c r="A18" s="9"/>
      <c r="B18" s="9"/>
      <c r="C18" s="25"/>
      <c r="D18" s="25"/>
      <c r="E18" s="25"/>
      <c r="F18" s="25"/>
      <c r="G18" s="25"/>
      <c r="H18" s="25"/>
      <c r="I18" s="25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>
      <c r="A19" s="9"/>
      <c r="B19" s="9"/>
      <c r="C19" s="25"/>
      <c r="D19" s="25"/>
      <c r="E19" s="25"/>
      <c r="F19" s="25"/>
      <c r="G19" s="25"/>
      <c r="H19" s="25"/>
      <c r="I19" s="25"/>
      <c r="J19" s="2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" customHeight="1">
      <c r="A20" s="9"/>
      <c r="B20" s="9"/>
      <c r="C20" s="25"/>
      <c r="D20" s="25"/>
      <c r="E20" s="25"/>
      <c r="F20" s="25"/>
      <c r="G20" s="25"/>
      <c r="H20" s="25"/>
      <c r="I20" s="25"/>
      <c r="J20" s="25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" customHeight="1">
      <c r="A21" s="9"/>
      <c r="B21" s="9"/>
      <c r="C21" s="25"/>
      <c r="D21" s="25"/>
      <c r="E21" s="25"/>
      <c r="F21" s="25"/>
      <c r="G21" s="25"/>
      <c r="H21" s="25"/>
      <c r="I21" s="25"/>
      <c r="J21" s="25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" customHeight="1">
      <c r="A22" s="9"/>
      <c r="B22" s="9"/>
      <c r="C22" s="25"/>
      <c r="D22" s="25"/>
      <c r="E22" s="25"/>
      <c r="F22" s="25"/>
      <c r="G22" s="25"/>
      <c r="H22" s="25"/>
      <c r="I22" s="25"/>
      <c r="J22" s="2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" customHeight="1">
      <c r="A23" s="9"/>
      <c r="B23" s="9"/>
      <c r="C23" s="25"/>
      <c r="D23" s="25"/>
      <c r="E23" s="25"/>
      <c r="F23" s="25"/>
      <c r="G23" s="25"/>
      <c r="H23" s="25"/>
      <c r="I23" s="25"/>
      <c r="J23" s="2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" customHeight="1">
      <c r="A24" s="9"/>
      <c r="B24" s="9"/>
      <c r="C24" s="25"/>
      <c r="D24" s="25"/>
      <c r="E24" s="25"/>
      <c r="F24" s="25"/>
      <c r="G24" s="25"/>
      <c r="H24" s="25"/>
      <c r="I24" s="25"/>
      <c r="J24" s="2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" customHeight="1">
      <c r="A25" s="9"/>
      <c r="B25" s="9"/>
      <c r="C25" s="25"/>
      <c r="D25" s="25"/>
      <c r="E25" s="25"/>
      <c r="F25" s="25"/>
      <c r="G25" s="25"/>
      <c r="H25" s="25"/>
      <c r="I25" s="25"/>
      <c r="J25" s="25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 customHeight="1">
      <c r="A26" s="9"/>
      <c r="B26" s="9"/>
      <c r="C26" s="25"/>
      <c r="D26" s="25"/>
      <c r="E26" s="25"/>
      <c r="F26" s="25"/>
      <c r="G26" s="25"/>
      <c r="H26" s="25"/>
      <c r="I26" s="25"/>
      <c r="J26" s="25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 customHeight="1">
      <c r="A27" s="9"/>
      <c r="B27" s="9"/>
      <c r="C27" s="25"/>
      <c r="D27" s="25"/>
      <c r="E27" s="25"/>
      <c r="F27" s="25"/>
      <c r="G27" s="25"/>
      <c r="H27" s="25"/>
      <c r="I27" s="25"/>
      <c r="J27" s="2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customHeight="1" hidden="1">
      <c r="A28" s="9"/>
      <c r="B28" s="9"/>
      <c r="C28" s="26"/>
      <c r="D28" s="26" t="s">
        <v>25</v>
      </c>
      <c r="E28" s="26" t="s">
        <v>8</v>
      </c>
      <c r="F28" s="26" t="s">
        <v>9</v>
      </c>
      <c r="G28" s="46" t="s">
        <v>11</v>
      </c>
      <c r="H28" s="26" t="s">
        <v>4</v>
      </c>
      <c r="I28" s="25"/>
      <c r="J28" s="25"/>
      <c r="K28" s="43" t="s">
        <v>20</v>
      </c>
      <c r="L28" s="43" t="s">
        <v>21</v>
      </c>
      <c r="M28" s="43" t="s">
        <v>19</v>
      </c>
      <c r="N28" s="43" t="s">
        <v>22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" customHeight="1" hidden="1">
      <c r="A29" s="9"/>
      <c r="B29" s="23">
        <f>IF(G5=0,7!B29,G4)</f>
        <v>1</v>
      </c>
      <c r="C29" s="18"/>
      <c r="D29" s="22">
        <f>IF(G5=0,7!D29,G5)</f>
        <v>0</v>
      </c>
      <c r="E29" s="22">
        <f>IF(G6=0,7!E29,G6)</f>
        <v>0</v>
      </c>
      <c r="F29" s="24">
        <f>IF(G7=0,7!F29,G7)</f>
        <v>0</v>
      </c>
      <c r="G29" s="22">
        <f>IF(G8=0,7!G29,G8)</f>
        <v>0</v>
      </c>
      <c r="H29" s="9"/>
      <c r="I29" s="9"/>
      <c r="J29" s="9"/>
      <c r="K29" s="9">
        <v>692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5" customHeight="1" hidden="1">
      <c r="A30" s="9"/>
      <c r="B30" s="23">
        <f>IF(G5&gt;0,G4,7!B30)</f>
        <v>1</v>
      </c>
      <c r="C30" s="9"/>
      <c r="D30" s="9"/>
      <c r="E30" s="9"/>
      <c r="F30" s="9"/>
      <c r="G30" s="9"/>
      <c r="H30" s="9"/>
      <c r="I30" s="9"/>
      <c r="J30" s="9"/>
      <c r="K30" s="42">
        <f>IF(G6&lt;K29,G6,((G6/100)*(90+plus)))</f>
        <v>0</v>
      </c>
      <c r="L30" s="18">
        <f>Z7+0.55</f>
        <v>0.9400000000000001</v>
      </c>
      <c r="M30" s="9">
        <f>IF(G7&gt;L30,(L30-(G7/100)*90),G7)</f>
        <v>0</v>
      </c>
      <c r="N30" s="9">
        <f>((M30*K30)+7!N30-(G8*I8))+' '!BA36</f>
        <v>25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.5" customHeight="1">
      <c r="A31" s="9"/>
      <c r="B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</sheetData>
  <sheetProtection password="E72E" sheet="1" objects="1" scenarios="1" selectLockedCells="1"/>
  <mergeCells count="53">
    <mergeCell ref="Z12:AC12"/>
    <mergeCell ref="Z13:AC13"/>
    <mergeCell ref="Z8:AC8"/>
    <mergeCell ref="R9:U9"/>
    <mergeCell ref="V9:Y9"/>
    <mergeCell ref="Z9:AC9"/>
    <mergeCell ref="R10:U10"/>
    <mergeCell ref="V10:Y10"/>
    <mergeCell ref="Z10:AC10"/>
    <mergeCell ref="V8:Y8"/>
    <mergeCell ref="C8:F8"/>
    <mergeCell ref="G8:H8"/>
    <mergeCell ref="I8:K8"/>
    <mergeCell ref="M8:O8"/>
    <mergeCell ref="R8:U8"/>
    <mergeCell ref="AB7:AC7"/>
    <mergeCell ref="C6:F6"/>
    <mergeCell ref="G6:H6"/>
    <mergeCell ref="I6:K6"/>
    <mergeCell ref="M6:O6"/>
    <mergeCell ref="R6:U6"/>
    <mergeCell ref="V6:Y6"/>
    <mergeCell ref="Z6:AC6"/>
    <mergeCell ref="C7:F7"/>
    <mergeCell ref="G7:H7"/>
    <mergeCell ref="I7:K7"/>
    <mergeCell ref="M7:O7"/>
    <mergeCell ref="C9:O9"/>
    <mergeCell ref="R2:U2"/>
    <mergeCell ref="V2:Y2"/>
    <mergeCell ref="Z2:AC2"/>
    <mergeCell ref="C3:F3"/>
    <mergeCell ref="G3:H3"/>
    <mergeCell ref="I3:K3"/>
    <mergeCell ref="M3:O3"/>
    <mergeCell ref="R3:U3"/>
    <mergeCell ref="V3:Y3"/>
    <mergeCell ref="I5:K5"/>
    <mergeCell ref="R5:U5"/>
    <mergeCell ref="V5:Y5"/>
    <mergeCell ref="R7:U7"/>
    <mergeCell ref="V7:Y7"/>
    <mergeCell ref="Z7:AA7"/>
    <mergeCell ref="Z3:AC3"/>
    <mergeCell ref="Z5:AC5"/>
    <mergeCell ref="C4:F4"/>
    <mergeCell ref="G4:H4"/>
    <mergeCell ref="I4:K4"/>
    <mergeCell ref="R4:U4"/>
    <mergeCell ref="V4:Y4"/>
    <mergeCell ref="Z4:AC4"/>
    <mergeCell ref="C5:F5"/>
    <mergeCell ref="G5:H5"/>
  </mergeCells>
  <conditionalFormatting sqref="C9:O9">
    <cfRule type="cellIs" priority="1" dxfId="20" operator="equal">
      <formula>" "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Iwan</dc:creator>
  <cp:keywords/>
  <dc:description/>
  <cp:lastModifiedBy>Honge</cp:lastModifiedBy>
  <dcterms:created xsi:type="dcterms:W3CDTF">2009-11-05T14:02:03Z</dcterms:created>
  <dcterms:modified xsi:type="dcterms:W3CDTF">2011-04-17T12:52:21Z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